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definedNames>
    <definedName name="_xlnm.Print_Area" localSheetId="0">Sheet1!$A$1:$T$37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<sst xmlns="http://schemas.openxmlformats.org/spreadsheetml/2006/main" count="410" uniqueCount="227">
  <si>
    <t>附件1</t>
  </si>
  <si>
    <t>鱼峰区2023年度一般公共预算收支执行情况表</t>
  </si>
  <si>
    <t>单位：万元</t>
  </si>
  <si>
    <t>项   目</t>
  </si>
  <si>
    <t>2018年</t>
  </si>
  <si>
    <t>2019年</t>
  </si>
  <si>
    <t>2022年决算</t>
  </si>
  <si>
    <t>2023年预算调整数</t>
  </si>
  <si>
    <t>2023年实际执行数</t>
  </si>
  <si>
    <t>完成调整预算比例</t>
  </si>
  <si>
    <t>同比增减比例</t>
  </si>
  <si>
    <t>2019预算数(本级)</t>
  </si>
  <si>
    <t>2019预算调整数(本级)</t>
  </si>
  <si>
    <t>2018年初预算</t>
  </si>
  <si>
    <t>2018完成数</t>
  </si>
  <si>
    <t>2019年年初预算</t>
  </si>
  <si>
    <t>2019年本级</t>
  </si>
  <si>
    <t>比上年完成数+、-</t>
  </si>
  <si>
    <t>与上年完成数同比+、-</t>
  </si>
  <si>
    <t>一、一般公共预算收入</t>
  </si>
  <si>
    <t>一、上划中央、自治区、柳州市税收（含消费税）</t>
  </si>
  <si>
    <t>1、增值税</t>
  </si>
  <si>
    <t>二、上解上级支出</t>
  </si>
  <si>
    <t>2、消费税</t>
  </si>
  <si>
    <t xml:space="preserve">   1.专项上解</t>
  </si>
  <si>
    <t>3、企业所得税</t>
  </si>
  <si>
    <t xml:space="preserve">   2.体制上解</t>
  </si>
  <si>
    <t>4、个人所得税</t>
  </si>
  <si>
    <t>5、资源税</t>
  </si>
  <si>
    <t>三、一般公共预算支出</t>
  </si>
  <si>
    <t>6、房产税</t>
  </si>
  <si>
    <t xml:space="preserve">   1、一般公共服务</t>
  </si>
  <si>
    <t>7、印花税</t>
  </si>
  <si>
    <t xml:space="preserve">   2、国防</t>
  </si>
  <si>
    <t>8、车船税</t>
  </si>
  <si>
    <t xml:space="preserve">   3、公共安全</t>
  </si>
  <si>
    <t>9、城市维护建设税</t>
  </si>
  <si>
    <t xml:space="preserve">   4、教育</t>
  </si>
  <si>
    <t>10、其他收入</t>
  </si>
  <si>
    <t xml:space="preserve">   5、科学技术</t>
  </si>
  <si>
    <t xml:space="preserve">  税收收入合计：</t>
  </si>
  <si>
    <t xml:space="preserve">   6、文化旅游体育与传媒</t>
  </si>
  <si>
    <t xml:space="preserve">   7、社会保障和就业</t>
  </si>
  <si>
    <t>11、专项收入</t>
  </si>
  <si>
    <t xml:space="preserve">   8、卫生健康</t>
  </si>
  <si>
    <t>12、行政性收费收入</t>
  </si>
  <si>
    <t xml:space="preserve">   9、节能环保</t>
  </si>
  <si>
    <t>13、罚没收入</t>
  </si>
  <si>
    <t xml:space="preserve">   10、城乡社区</t>
  </si>
  <si>
    <t>14、国有资源有偿使用收入</t>
  </si>
  <si>
    <t xml:space="preserve">   11、农林水</t>
  </si>
  <si>
    <t>15、其他收入</t>
  </si>
  <si>
    <t xml:space="preserve">   12、交通运输</t>
  </si>
  <si>
    <t>非税收入合计：</t>
  </si>
  <si>
    <t xml:space="preserve">   13、资源勘探信息等</t>
  </si>
  <si>
    <t xml:space="preserve">   14、商业服务业等</t>
  </si>
  <si>
    <t>二、返还性收入</t>
  </si>
  <si>
    <t xml:space="preserve">   15、金融支出</t>
  </si>
  <si>
    <t>三、体制补助</t>
  </si>
  <si>
    <t xml:space="preserve">   16、自然资源海洋气象等</t>
  </si>
  <si>
    <t>四、均衡性转移</t>
  </si>
  <si>
    <t xml:space="preserve">   17、住房保障支出</t>
  </si>
  <si>
    <t xml:space="preserve">   18、灾害防治及应急管理</t>
  </si>
  <si>
    <t>五、政府性基金调入</t>
  </si>
  <si>
    <t xml:space="preserve">   19、其他支出</t>
  </si>
  <si>
    <t>六、国有资本经营调入</t>
  </si>
  <si>
    <t xml:space="preserve">   20、债务付息支出</t>
  </si>
  <si>
    <t xml:space="preserve">   21、债务发行费用支出</t>
  </si>
  <si>
    <t>七、上级专项补助收入</t>
  </si>
  <si>
    <t xml:space="preserve">   22、预备费</t>
  </si>
  <si>
    <t>八、调入预算稳定调节基金</t>
  </si>
  <si>
    <t>四、补充预算稳定调节基金</t>
  </si>
  <si>
    <t>九、一般债券转贷收入</t>
  </si>
  <si>
    <t>十、上年结余</t>
  </si>
  <si>
    <t>五、结转结余</t>
  </si>
  <si>
    <t>总          计</t>
  </si>
  <si>
    <t>总           计</t>
  </si>
  <si>
    <t>附件2</t>
  </si>
  <si>
    <t>鱼峰区2023年政府性基金预算收支执行情况表</t>
  </si>
  <si>
    <t>项目</t>
  </si>
  <si>
    <t>预算调整数（收入）</t>
  </si>
  <si>
    <t>实际执行数（收入）</t>
  </si>
  <si>
    <t>预算调整数（支出）</t>
  </si>
  <si>
    <t>实际执行数（支出）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</si>
  <si>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</si>
  <si>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</si>
  <si>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</si>
  <si>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</si>
  <si>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</si>
  <si>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</si>
  <si>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</si>
  <si>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</si>
  <si>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</si>
  <si>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</si>
  <si>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</si>
  <si>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</si>
  <si>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</si>
  <si>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</si>
  <si>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</si>
  <si>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</si>
  <si>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</si>
  <si>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</si>
  <si>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</si>
  <si>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</si>
  <si>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</si>
  <si>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</si>
  <si>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</si>
  <si>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</si>
  <si>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</si>
  <si>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</si>
  <si>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</si>
  <si>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</si>
  <si>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</si>
  <si>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</si>
  <si>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</si>
  <si>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</si>
  <si>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</si>
  <si>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</si>
  <si>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</si>
  <si>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</si>
  <si>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</si>
  <si>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上年结余</t>
  </si>
  <si>
    <t>待偿债置换专项债券结余</t>
  </si>
  <si>
    <t>政府性基金预算年终结余</t>
  </si>
  <si>
    <t>收　　入　　总　　计　</t>
  </si>
  <si>
    <t>支　　出　　总　　计　</t>
  </si>
  <si>
    <t xml:space="preserve">             </t>
  </si>
  <si>
    <t>附件3</t>
  </si>
  <si>
    <t>鱼峰区2023年国有资本经营收支执行情况表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</si>
  <si>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</si>
  <si>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</si>
  <si>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</si>
  <si>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</si>
  <si>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</si>
  <si>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</si>
  <si>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</si>
  <si>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</si>
  <si>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</si>
  <si>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</si>
  <si>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</si>
  <si>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</si>
  <si>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</si>
  <si>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</si>
  <si>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</si>
  <si>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附件4</t>
  </si>
  <si>
    <t>鱼峰区2023年社会保险基金收支执行情况表</t>
  </si>
  <si>
    <t>一、收入</t>
  </si>
  <si>
    <t>一、支出</t>
  </si>
  <si>
    <t>其中  1.城乡居民基本
养老保险基金收入</t>
  </si>
  <si>
    <t>其中  1.城乡居民基本
养老保险基金支出</t>
  </si>
  <si>
    <t>2.机关事业单位基
本养老保险基金收入</t>
  </si>
  <si>
    <t>2.机关事业单位基
本养老保险基金支出</t>
  </si>
  <si>
    <t>二、上年收支结转结余余</t>
  </si>
  <si>
    <t>二、年末滚存结转结余</t>
  </si>
  <si>
    <t>其中  1.城乡居民基本
养老保险基金结余结转结余</t>
  </si>
  <si>
    <t>2.机关事业单位基
本养老保险基金结转结余</t>
  </si>
  <si>
    <t>附件5</t>
  </si>
  <si>
    <t>鱼峰区2024年度财政一般公共预算收支表</t>
  </si>
  <si>
    <t>2023年预算数（收入）</t>
  </si>
  <si>
    <t>2024年预算数（收入）</t>
  </si>
  <si>
    <t>2023年预算数（支出）</t>
  </si>
  <si>
    <t>2019年完成数</t>
  </si>
  <si>
    <t>2024年预算数（支出）</t>
  </si>
  <si>
    <r>
      <rPr>
        <b/>
        <sz val="11"/>
        <color indexed="8"/>
        <rFont val="楷体_GB2312"/>
        <charset val="134"/>
      </rPr>
      <t>比上年完成数+、</t>
    </r>
    <r>
      <rPr>
        <sz val="12"/>
        <rFont val="宋体"/>
        <charset val="134"/>
      </rPr>
      <t>-</t>
    </r>
  </si>
  <si>
    <t>本级预算</t>
  </si>
  <si>
    <t>补助结转（中央）</t>
  </si>
  <si>
    <t>补助结转（自治区）</t>
  </si>
  <si>
    <t>提前下达</t>
  </si>
  <si>
    <t xml:space="preserve">  </t>
  </si>
  <si>
    <t xml:space="preserve">   1、专项上解</t>
  </si>
  <si>
    <t xml:space="preserve">   2、其他上解</t>
  </si>
  <si>
    <t>费附加</t>
  </si>
  <si>
    <t>调减教育结余-63万</t>
  </si>
  <si>
    <t>加63万元本级配套科技创新</t>
  </si>
  <si>
    <t xml:space="preserve"> g e as</t>
  </si>
  <si>
    <t xml:space="preserve">   13、资源勘探工业信息等</t>
  </si>
  <si>
    <t xml:space="preserve">   16、住房保障支出</t>
  </si>
  <si>
    <t xml:space="preserve">   17、自然资源海洋气象等</t>
  </si>
  <si>
    <t xml:space="preserve">   19、债务付息支出</t>
  </si>
  <si>
    <t>五、上级下达专项补助收入</t>
  </si>
  <si>
    <t xml:space="preserve">   20、预备费</t>
  </si>
  <si>
    <t>六、调入预算稳定调节基金</t>
  </si>
  <si>
    <t>七、上年结余</t>
  </si>
  <si>
    <t>八、一般债券转贷收入</t>
  </si>
  <si>
    <t>九、政府性基金调入</t>
  </si>
  <si>
    <t>十、国有资本经营调入</t>
  </si>
  <si>
    <t>一般</t>
  </si>
  <si>
    <t>基金</t>
  </si>
  <si>
    <t>国有资本</t>
  </si>
  <si>
    <t>2022年均衡转移</t>
  </si>
  <si>
    <t>中央自治区</t>
  </si>
  <si>
    <t>市本级</t>
  </si>
  <si>
    <t>中央</t>
  </si>
  <si>
    <t>自治区</t>
  </si>
  <si>
    <t>柳州市</t>
  </si>
  <si>
    <t>附件6</t>
  </si>
  <si>
    <t>鱼峰区2024年政府性基金预算收支表</t>
  </si>
  <si>
    <t>2023年预算（收入）</t>
  </si>
  <si>
    <t>2024年预算（收入）</t>
  </si>
  <si>
    <t>2023年预算（支出）</t>
  </si>
  <si>
    <t>2024年预算（支出）</t>
  </si>
  <si>
    <t>附件7</t>
  </si>
  <si>
    <t>鱼峰区2024年国有资本经营预算收支表</t>
  </si>
  <si>
    <t>附件8</t>
  </si>
  <si>
    <t>鱼峰区2024年社会保险基金预算收支表</t>
  </si>
  <si>
    <t>2023年</t>
  </si>
  <si>
    <t>2024年</t>
  </si>
  <si>
    <t>项        目</t>
  </si>
  <si>
    <t>合计</t>
  </si>
  <si>
    <t>城乡居民基本
养老保险基金</t>
  </si>
  <si>
    <t>机关事业单位基
本养老保险基金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</si>
  <si>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</si>
  <si>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</si>
  <si>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</si>
  <si>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</si>
  <si>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</si>
  <si>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</si>
  <si>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7.全国统筹调剂资金收入（省级）</t>
  </si>
  <si>
    <t xml:space="preserve">         8.全国统筹调剂资金收入（中央)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</si>
  <si>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</si>
  <si>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</si>
  <si>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</si>
  <si>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</si>
  <si>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4.全国统筹调剂资金支出（中央）</t>
  </si>
  <si>
    <t xml:space="preserve">         5.全国统筹调剂资金支出（省级）</t>
  </si>
  <si>
    <t>三、上年收支结余</t>
  </si>
  <si>
    <t>四、年末滚存结余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</si>
</sst>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;\-#,##0.00;;"/>
    <numFmt numFmtId="178" formatCode="#,##0_ "/>
    <numFmt numFmtId="179" formatCode="0.00_ "/>
    <numFmt numFmtId="180" formatCode="#,##0.0_ "/>
  </numFmts>
  <fonts count="51">
    <font>
      <sz val="11"/>
      <color theme="1"/>
      <name val="宋体"/>
      <charset val="134"/>
      <scheme val="minor"/>
    </font>
    <font>
      <b/>
      <sz val="20"/>
      <color indexed="8"/>
      <name val="宋体"/>
      <charset val="1"/>
    </font>
    <font>
      <b/>
      <sz val="2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"/>
    </font>
    <font>
      <sz val="14"/>
      <color indexed="8"/>
      <name val="宋体"/>
      <charset val="1"/>
    </font>
    <font>
      <b/>
      <sz val="10"/>
      <name val="宋体"/>
      <charset val="134"/>
    </font>
    <font>
      <b/>
      <sz val="12"/>
      <color indexed="8"/>
      <name val="宋体"/>
      <charset val="1"/>
    </font>
    <font>
      <b/>
      <sz val="1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indexed="8"/>
      <name val="楷体_GB2312"/>
      <charset val="134"/>
    </font>
    <font>
      <b/>
      <sz val="12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b/>
      <sz val="11"/>
      <color rgb="FF000000"/>
      <name val="仿宋_GB2312"/>
      <charset val="134"/>
    </font>
    <font>
      <sz val="10"/>
      <name val="Courier New"/>
      <charset val="0"/>
    </font>
    <font>
      <sz val="11"/>
      <color indexed="8"/>
      <name val="Times New Roman"/>
      <charset val="134"/>
    </font>
    <font>
      <sz val="9"/>
      <name val="宋体"/>
      <charset val="134"/>
    </font>
    <font>
      <b/>
      <sz val="20"/>
      <color rgb="FF000000"/>
      <name val="宋体"/>
      <charset val="1"/>
    </font>
    <font>
      <b/>
      <sz val="29"/>
      <color indexed="8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1"/>
      <color indexed="8"/>
      <name val="宋体"/>
      <charset val="134"/>
      <scheme val="maj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6" applyNumberFormat="0" applyAlignment="0" applyProtection="0">
      <alignment vertical="center"/>
    </xf>
    <xf numFmtId="0" fontId="41" fillId="5" borderId="17" applyNumberFormat="0" applyAlignment="0" applyProtection="0">
      <alignment vertical="center"/>
    </xf>
    <xf numFmtId="0" fontId="42" fillId="5" borderId="16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29" fillId="0" borderId="0"/>
    <xf numFmtId="0" fontId="25" fillId="0" borderId="0"/>
    <xf numFmtId="0" fontId="29" fillId="0" borderId="0"/>
    <xf numFmtId="0" fontId="0" fillId="0" borderId="0"/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49" fontId="1" fillId="0" borderId="0" xfId="52" applyNumberFormat="1" applyFont="1" applyFill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2" fillId="0" borderId="0" xfId="52" applyFont="1" applyFill="1"/>
    <xf numFmtId="176" fontId="1" fillId="0" borderId="0" xfId="52" applyNumberFormat="1" applyFont="1" applyFill="1" applyAlignment="1">
      <alignment horizontal="center" vertical="center"/>
    </xf>
    <xf numFmtId="49" fontId="3" fillId="0" borderId="0" xfId="52" applyNumberFormat="1" applyFont="1" applyFill="1" applyAlignment="1">
      <alignment vertical="center"/>
    </xf>
    <xf numFmtId="49" fontId="4" fillId="0" borderId="0" xfId="52" applyNumberFormat="1" applyFont="1" applyFill="1"/>
    <xf numFmtId="176" fontId="3" fillId="0" borderId="0" xfId="52" applyNumberFormat="1" applyFont="1" applyFill="1" applyAlignment="1">
      <alignment vertical="center"/>
    </xf>
    <xf numFmtId="49" fontId="5" fillId="0" borderId="0" xfId="52" applyNumberFormat="1" applyFont="1" applyFill="1" applyAlignment="1">
      <alignment horizontal="right"/>
    </xf>
    <xf numFmtId="49" fontId="3" fillId="0" borderId="0" xfId="52" applyNumberFormat="1" applyFont="1" applyFill="1" applyBorder="1" applyAlignment="1">
      <alignment vertical="center"/>
    </xf>
    <xf numFmtId="49" fontId="4" fillId="0" borderId="0" xfId="52" applyNumberFormat="1" applyFont="1" applyFill="1" applyBorder="1"/>
    <xf numFmtId="176" fontId="3" fillId="0" borderId="0" xfId="52" applyNumberFormat="1" applyFont="1" applyFill="1" applyBorder="1" applyAlignment="1">
      <alignment vertical="center"/>
    </xf>
    <xf numFmtId="49" fontId="3" fillId="0" borderId="0" xfId="52" applyNumberFormat="1" applyFont="1" applyFill="1" applyBorder="1" applyAlignment="1">
      <alignment horizontal="right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176" fontId="6" fillId="0" borderId="1" xfId="52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3" xfId="52" applyNumberFormat="1" applyFont="1" applyFill="1" applyBorder="1" applyAlignment="1">
      <alignment horizontal="center" vertical="center"/>
    </xf>
    <xf numFmtId="176" fontId="6" fillId="0" borderId="4" xfId="52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/>
    </xf>
    <xf numFmtId="49" fontId="8" fillId="0" borderId="7" xfId="52" applyNumberFormat="1" applyFont="1" applyFill="1" applyBorder="1" applyAlignment="1">
      <alignment horizontal="center" vertical="center" wrapText="1"/>
    </xf>
    <xf numFmtId="49" fontId="8" fillId="0" borderId="8" xfId="52" applyNumberFormat="1" applyFont="1" applyFill="1" applyBorder="1" applyAlignment="1">
      <alignment horizontal="center" vertical="center" wrapText="1"/>
    </xf>
    <xf numFmtId="176" fontId="8" fillId="0" borderId="9" xfId="5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49" fontId="3" fillId="0" borderId="6" xfId="52" applyNumberFormat="1" applyFont="1" applyFill="1" applyBorder="1" applyAlignment="1">
      <alignment horizontal="center" vertical="center"/>
    </xf>
    <xf numFmtId="3" fontId="8" fillId="0" borderId="10" xfId="52" applyNumberFormat="1" applyFont="1" applyFill="1" applyBorder="1" applyAlignment="1">
      <alignment horizontal="center" vertical="center"/>
    </xf>
    <xf numFmtId="3" fontId="8" fillId="0" borderId="11" xfId="52" applyNumberFormat="1" applyFont="1" applyFill="1" applyBorder="1" applyAlignment="1">
      <alignment horizontal="center" vertical="center"/>
    </xf>
    <xf numFmtId="176" fontId="8" fillId="0" borderId="11" xfId="52" applyNumberFormat="1" applyFont="1" applyFill="1" applyBorder="1" applyAlignment="1">
      <alignment horizontal="center" vertical="center"/>
    </xf>
    <xf numFmtId="10" fontId="3" fillId="0" borderId="12" xfId="52" applyNumberFormat="1" applyFont="1" applyFill="1" applyBorder="1" applyAlignment="1">
      <alignment horizontal="center" vertical="center"/>
    </xf>
    <xf numFmtId="49" fontId="3" fillId="0" borderId="10" xfId="52" applyNumberFormat="1" applyFont="1" applyFill="1" applyBorder="1" applyAlignment="1">
      <alignment horizontal="center" vertical="center"/>
    </xf>
    <xf numFmtId="3" fontId="3" fillId="0" borderId="10" xfId="52" applyNumberFormat="1" applyFont="1" applyFill="1" applyBorder="1" applyAlignment="1">
      <alignment horizontal="center" vertical="center"/>
    </xf>
    <xf numFmtId="176" fontId="3" fillId="0" borderId="10" xfId="52" applyNumberFormat="1" applyFont="1" applyFill="1" applyBorder="1" applyAlignment="1">
      <alignment horizontal="center" vertical="center"/>
    </xf>
    <xf numFmtId="177" fontId="3" fillId="0" borderId="10" xfId="52" applyNumberFormat="1" applyFont="1" applyFill="1" applyBorder="1" applyAlignment="1">
      <alignment horizontal="center" vertical="center"/>
    </xf>
    <xf numFmtId="176" fontId="8" fillId="0" borderId="10" xfId="52" applyNumberFormat="1" applyFont="1" applyFill="1" applyBorder="1" applyAlignment="1">
      <alignment horizontal="center" vertical="center"/>
    </xf>
    <xf numFmtId="3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 applyProtection="1">
      <alignment horizontal="center" vertical="center"/>
    </xf>
    <xf numFmtId="10" fontId="1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horizontal="right" vertical="center" wrapText="1"/>
    </xf>
    <xf numFmtId="178" fontId="0" fillId="0" borderId="0" xfId="0" applyNumberForma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0" fontId="1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10" fontId="14" fillId="0" borderId="5" xfId="49" applyNumberFormat="1" applyFont="1" applyFill="1" applyBorder="1" applyAlignment="1">
      <alignment horizontal="center" vertical="center" wrapText="1"/>
    </xf>
    <xf numFmtId="10" fontId="14" fillId="0" borderId="1" xfId="49" applyNumberFormat="1" applyFont="1" applyFill="1" applyBorder="1" applyAlignment="1">
      <alignment horizontal="center" vertical="center" wrapText="1"/>
    </xf>
    <xf numFmtId="10" fontId="14" fillId="0" borderId="8" xfId="49" applyNumberFormat="1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/>
    </xf>
    <xf numFmtId="178" fontId="17" fillId="0" borderId="1" xfId="49" applyNumberFormat="1" applyFont="1" applyFill="1" applyBorder="1" applyAlignment="1">
      <alignment horizontal="center"/>
    </xf>
    <xf numFmtId="10" fontId="17" fillId="0" borderId="1" xfId="49" applyNumberFormat="1" applyFont="1" applyFill="1" applyBorder="1" applyAlignment="1">
      <alignment horizontal="center"/>
    </xf>
    <xf numFmtId="178" fontId="18" fillId="0" borderId="2" xfId="0" applyNumberFormat="1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/>
    </xf>
    <xf numFmtId="3" fontId="17" fillId="0" borderId="1" xfId="49" applyNumberFormat="1" applyFont="1" applyFill="1" applyBorder="1" applyAlignment="1">
      <alignment horizontal="center"/>
    </xf>
    <xf numFmtId="0" fontId="16" fillId="0" borderId="1" xfId="49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3" fontId="12" fillId="0" borderId="1" xfId="49" applyNumberFormat="1" applyFont="1" applyFill="1" applyBorder="1" applyAlignment="1">
      <alignment horizontal="center"/>
    </xf>
    <xf numFmtId="3" fontId="18" fillId="0" borderId="1" xfId="49" applyNumberFormat="1" applyFont="1" applyFill="1" applyBorder="1" applyAlignment="1">
      <alignment horizontal="center"/>
    </xf>
    <xf numFmtId="0" fontId="18" fillId="0" borderId="1" xfId="49" applyFont="1" applyFill="1" applyBorder="1" applyAlignment="1">
      <alignment horizontal="center"/>
    </xf>
    <xf numFmtId="0" fontId="18" fillId="0" borderId="2" xfId="49" applyFont="1" applyFill="1" applyBorder="1" applyAlignment="1">
      <alignment horizontal="center"/>
    </xf>
    <xf numFmtId="3" fontId="12" fillId="0" borderId="2" xfId="49" applyNumberFormat="1" applyFont="1" applyFill="1" applyBorder="1" applyAlignment="1">
      <alignment horizontal="center"/>
    </xf>
    <xf numFmtId="0" fontId="16" fillId="0" borderId="1" xfId="49" applyFont="1" applyFill="1" applyBorder="1" applyAlignment="1">
      <alignment horizontal="center" wrapText="1"/>
    </xf>
    <xf numFmtId="178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178" fontId="12" fillId="0" borderId="1" xfId="0" applyNumberFormat="1" applyFont="1" applyFill="1" applyBorder="1" applyAlignment="1">
      <alignment horizontal="center" vertical="center"/>
    </xf>
    <xf numFmtId="178" fontId="17" fillId="0" borderId="8" xfId="49" applyNumberFormat="1" applyFont="1" applyFill="1" applyBorder="1" applyAlignment="1">
      <alignment horizontal="center"/>
    </xf>
    <xf numFmtId="10" fontId="17" fillId="0" borderId="8" xfId="49" applyNumberFormat="1" applyFont="1" applyFill="1" applyBorder="1" applyAlignment="1">
      <alignment horizontal="center"/>
    </xf>
    <xf numFmtId="10" fontId="19" fillId="0" borderId="0" xfId="49" applyNumberFormat="1" applyFont="1" applyFill="1" applyAlignment="1">
      <alignment horizontal="center"/>
    </xf>
    <xf numFmtId="179" fontId="0" fillId="0" borderId="0" xfId="0" applyNumberForma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3" fontId="14" fillId="0" borderId="5" xfId="49" applyNumberFormat="1" applyFont="1" applyFill="1" applyBorder="1" applyAlignment="1">
      <alignment horizontal="center" vertical="center" wrapText="1"/>
    </xf>
    <xf numFmtId="3" fontId="14" fillId="0" borderId="8" xfId="49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178" fontId="17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78" fontId="17" fillId="0" borderId="2" xfId="0" applyNumberFormat="1" applyFont="1" applyFill="1" applyBorder="1" applyAlignment="1">
      <alignment horizontal="center"/>
    </xf>
    <xf numFmtId="178" fontId="17" fillId="0" borderId="2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/>
    </xf>
    <xf numFmtId="176" fontId="16" fillId="0" borderId="1" xfId="0" applyNumberFormat="1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1" xfId="49" applyNumberFormat="1" applyFont="1" applyFill="1" applyBorder="1" applyAlignment="1">
      <alignment horizontal="center"/>
    </xf>
    <xf numFmtId="176" fontId="20" fillId="0" borderId="1" xfId="0" applyNumberFormat="1" applyFont="1" applyFill="1" applyBorder="1" applyAlignment="1">
      <alignment horizontal="center" vertical="center"/>
    </xf>
    <xf numFmtId="3" fontId="17" fillId="0" borderId="2" xfId="49" applyNumberFormat="1" applyFont="1" applyFill="1" applyBorder="1" applyAlignment="1">
      <alignment horizontal="center"/>
    </xf>
    <xf numFmtId="176" fontId="17" fillId="0" borderId="0" xfId="49" applyNumberFormat="1" applyFont="1" applyFill="1" applyAlignment="1">
      <alignment horizontal="center"/>
    </xf>
    <xf numFmtId="176" fontId="12" fillId="0" borderId="2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wrapText="1"/>
    </xf>
    <xf numFmtId="176" fontId="18" fillId="0" borderId="1" xfId="0" applyNumberFormat="1" applyFont="1" applyFill="1" applyBorder="1" applyAlignment="1">
      <alignment horizontal="center" wrapText="1"/>
    </xf>
    <xf numFmtId="176" fontId="18" fillId="0" borderId="2" xfId="0" applyNumberFormat="1" applyFont="1" applyFill="1" applyBorder="1" applyAlignment="1">
      <alignment horizontal="center" wrapText="1"/>
    </xf>
    <xf numFmtId="178" fontId="22" fillId="0" borderId="1" xfId="0" applyNumberFormat="1" applyFont="1" applyFill="1" applyBorder="1" applyAlignment="1">
      <alignment horizontal="center"/>
    </xf>
    <xf numFmtId="10" fontId="17" fillId="0" borderId="0" xfId="49" applyNumberFormat="1" applyFont="1" applyFill="1" applyAlignment="1">
      <alignment horizontal="center"/>
    </xf>
    <xf numFmtId="180" fontId="0" fillId="0" borderId="0" xfId="0" applyNumberFormat="1" applyFill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0" fontId="16" fillId="0" borderId="5" xfId="49" applyNumberFormat="1" applyFont="1" applyFill="1" applyBorder="1" applyAlignment="1">
      <alignment horizontal="center" vertical="center" wrapText="1"/>
    </xf>
    <xf numFmtId="10" fontId="16" fillId="0" borderId="8" xfId="49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10" fillId="0" borderId="0" xfId="0" applyNumberFormat="1" applyFont="1" applyFill="1" applyBorder="1" applyAlignment="1" applyProtection="1">
      <alignment horizontal="center" vertical="center" wrapText="1"/>
    </xf>
    <xf numFmtId="10" fontId="10" fillId="0" borderId="0" xfId="0" applyNumberFormat="1" applyFont="1" applyFill="1" applyBorder="1" applyAlignment="1" applyProtection="1">
      <alignment horizontal="center" vertical="center" wrapText="1"/>
    </xf>
    <xf numFmtId="176" fontId="23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 applyProtection="1">
      <alignment horizontal="center" vertical="center" wrapText="1"/>
    </xf>
    <xf numFmtId="179" fontId="12" fillId="0" borderId="0" xfId="0" applyNumberFormat="1" applyFont="1" applyFill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/>
    </xf>
    <xf numFmtId="49" fontId="26" fillId="0" borderId="0" xfId="52" applyNumberFormat="1" applyFont="1" applyFill="1" applyAlignment="1">
      <alignment horizontal="center" vertical="center"/>
    </xf>
    <xf numFmtId="0" fontId="27" fillId="0" borderId="0" xfId="52" applyFont="1" applyFill="1" applyAlignment="1">
      <alignment horizontal="center" vertical="center"/>
    </xf>
    <xf numFmtId="0" fontId="28" fillId="0" borderId="0" xfId="52" applyFont="1" applyFill="1" applyAlignment="1">
      <alignment horizontal="center"/>
    </xf>
    <xf numFmtId="49" fontId="3" fillId="0" borderId="0" xfId="52" applyNumberFormat="1" applyFont="1" applyFill="1" applyAlignment="1">
      <alignment horizontal="center" vertical="center"/>
    </xf>
    <xf numFmtId="49" fontId="4" fillId="0" borderId="0" xfId="52" applyNumberFormat="1" applyFont="1" applyFill="1" applyAlignment="1">
      <alignment horizontal="center"/>
    </xf>
    <xf numFmtId="179" fontId="14" fillId="0" borderId="1" xfId="49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0" fontId="7" fillId="0" borderId="1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right" vertical="center"/>
    </xf>
    <xf numFmtId="10" fontId="14" fillId="0" borderId="1" xfId="49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top"/>
    </xf>
    <xf numFmtId="178" fontId="14" fillId="0" borderId="1" xfId="49" applyNumberFormat="1" applyFont="1" applyFill="1" applyBorder="1" applyAlignment="1">
      <alignment horizontal="center" wrapText="1"/>
    </xf>
    <xf numFmtId="178" fontId="15" fillId="0" borderId="1" xfId="49" applyNumberFormat="1" applyFont="1" applyFill="1" applyBorder="1" applyAlignment="1">
      <alignment horizontal="center"/>
    </xf>
    <xf numFmtId="0" fontId="15" fillId="0" borderId="1" xfId="49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3" fontId="14" fillId="0" borderId="1" xfId="49" applyNumberFormat="1" applyFont="1" applyFill="1" applyBorder="1" applyAlignment="1">
      <alignment horizontal="center" wrapText="1"/>
    </xf>
    <xf numFmtId="178" fontId="12" fillId="0" borderId="1" xfId="0" applyNumberFormat="1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3" fontId="30" fillId="0" borderId="10" xfId="0" applyNumberFormat="1" applyFont="1" applyFill="1" applyBorder="1" applyAlignment="1" applyProtection="1">
      <alignment horizontal="center"/>
    </xf>
    <xf numFmtId="178" fontId="17" fillId="0" borderId="2" xfId="49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18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3" fontId="17" fillId="0" borderId="0" xfId="49" applyNumberFormat="1" applyFont="1" applyFill="1" applyAlignment="1">
      <alignment horizontal="center"/>
    </xf>
    <xf numFmtId="179" fontId="17" fillId="0" borderId="0" xfId="49" applyNumberFormat="1" applyFont="1" applyFill="1" applyAlignment="1">
      <alignment horizontal="center"/>
    </xf>
    <xf numFmtId="10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10" fontId="14" fillId="0" borderId="0" xfId="49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0" fontId="0" fillId="0" borderId="0" xfId="0" applyNumberFormat="1" applyFill="1" applyAlignment="1">
      <alignment horizontal="center" wrapText="1"/>
    </xf>
    <xf numFmtId="10" fontId="0" fillId="0" borderId="0" xfId="0" applyNumberFormat="1" applyFill="1" applyAlignment="1">
      <alignment horizontal="center"/>
    </xf>
    <xf numFmtId="178" fontId="17" fillId="0" borderId="0" xfId="49" applyNumberFormat="1" applyFont="1" applyFill="1" applyBorder="1" applyAlignment="1">
      <alignment horizontal="center"/>
    </xf>
    <xf numFmtId="3" fontId="31" fillId="0" borderId="2" xfId="0" applyNumberFormat="1" applyFont="1" applyFill="1" applyBorder="1" applyAlignment="1" applyProtection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/>
    </xf>
    <xf numFmtId="3" fontId="31" fillId="0" borderId="1" xfId="0" applyNumberFormat="1" applyFont="1" applyFill="1" applyBorder="1" applyAlignment="1" applyProtection="1">
      <alignment horizontal="center" vertical="center" wrapText="1"/>
    </xf>
    <xf numFmtId="3" fontId="31" fillId="0" borderId="1" xfId="0" applyNumberFormat="1" applyFont="1" applyFill="1" applyBorder="1" applyAlignment="1" applyProtection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wrapText="1"/>
    </xf>
    <xf numFmtId="10" fontId="17" fillId="0" borderId="0" xfId="49" applyNumberFormat="1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Normal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4"/>
  <sheetViews>
    <sheetView tabSelected="1" workbookViewId="0">
      <pane ySplit="5" topLeftCell="A6" activePane="bottomLeft" state="frozen"/>
      <selection/>
      <selection pane="bottomLeft" activeCell="O14" sqref="O14"/>
    </sheetView>
  </sheetViews>
  <sheetFormatPr defaultColWidth="9" defaultRowHeight="14.4"/>
  <cols>
    <col min="1" max="1" width="22.1296296296296" style="38" customWidth="1"/>
    <col min="2" max="6" width="16.3796296296296" style="50" hidden="1" customWidth="1"/>
    <col min="7" max="7" width="1.62962962962963" style="38" hidden="1" customWidth="1"/>
    <col min="8" max="8" width="10.75" style="38" customWidth="1"/>
    <col min="9" max="9" width="9.62962962962963" style="38" customWidth="1"/>
    <col min="10" max="10" width="10.1296296296296" style="52" customWidth="1"/>
    <col min="11" max="11" width="10.25" style="86" customWidth="1"/>
    <col min="12" max="12" width="11.25" style="53" customWidth="1"/>
    <col min="13" max="13" width="10.75" style="38" hidden="1" customWidth="1"/>
    <col min="14" max="14" width="11.5" style="38" hidden="1" customWidth="1"/>
    <col min="15" max="15" width="28.3796296296296" style="38" customWidth="1"/>
    <col min="16" max="16" width="9.25" style="38" customWidth="1"/>
    <col min="17" max="17" width="9.5" style="38" customWidth="1"/>
    <col min="18" max="18" width="9.87962962962963" style="52" customWidth="1"/>
    <col min="19" max="19" width="10.5" style="53" customWidth="1"/>
    <col min="20" max="20" width="10.3796296296296" style="54" customWidth="1"/>
    <col min="21" max="21" width="9.87962962962963" style="38" hidden="1" customWidth="1"/>
    <col min="22" max="22" width="12" style="38" hidden="1" customWidth="1"/>
    <col min="23" max="23" width="12.6296296296296" style="38" hidden="1" customWidth="1"/>
    <col min="24" max="24" width="9" style="53" hidden="1" customWidth="1"/>
    <col min="25" max="25" width="12.6296296296296" style="38" hidden="1" customWidth="1"/>
    <col min="26" max="26" width="11.5" style="38" hidden="1" customWidth="1"/>
    <col min="27" max="28" width="12.6296296296296" style="38" hidden="1" customWidth="1"/>
    <col min="29" max="29" width="14.5" style="38" customWidth="1"/>
    <col min="30" max="30" width="9.37962962962963" style="38"/>
    <col min="31" max="16384" width="9" style="38"/>
  </cols>
  <sheetData>
    <row r="1" spans="1:20">
      <c r="A1" s="145" t="s">
        <v>0</v>
      </c>
      <c r="B1" s="120"/>
      <c r="C1" s="120"/>
      <c r="D1" s="120"/>
      <c r="E1" s="120"/>
      <c r="F1" s="120"/>
      <c r="G1" s="121"/>
      <c r="H1" s="121"/>
      <c r="I1" s="121"/>
      <c r="J1" s="152"/>
      <c r="K1" s="153"/>
      <c r="L1" s="126"/>
      <c r="M1" s="121"/>
      <c r="N1" s="121"/>
      <c r="O1" s="121"/>
      <c r="P1" s="121"/>
      <c r="Q1" s="121"/>
      <c r="R1" s="152"/>
      <c r="S1" s="126"/>
      <c r="T1" s="169"/>
    </row>
    <row r="2" ht="24" spans="1:33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70"/>
      <c r="V2" s="170"/>
      <c r="W2" s="171"/>
      <c r="X2" s="172"/>
      <c r="Y2" s="171"/>
      <c r="Z2" s="171"/>
      <c r="AA2" s="171"/>
      <c r="AB2" s="171"/>
      <c r="AC2" s="171"/>
      <c r="AD2" s="171"/>
      <c r="AE2" s="171"/>
      <c r="AF2" s="171"/>
      <c r="AG2" s="171"/>
    </row>
    <row r="3" ht="18" customHeight="1" spans="1:33">
      <c r="A3" s="121"/>
      <c r="B3" s="120"/>
      <c r="C3" s="120"/>
      <c r="D3" s="120"/>
      <c r="E3" s="120"/>
      <c r="F3" s="120"/>
      <c r="G3" s="121"/>
      <c r="H3" s="121"/>
      <c r="I3" s="121"/>
      <c r="J3" s="152"/>
      <c r="K3" s="153"/>
      <c r="L3" s="126"/>
      <c r="M3" s="121"/>
      <c r="N3" s="121"/>
      <c r="O3" s="121"/>
      <c r="P3" s="121"/>
      <c r="Q3" s="173" t="s">
        <v>2</v>
      </c>
      <c r="R3" s="173"/>
      <c r="S3" s="173"/>
      <c r="T3" s="173"/>
      <c r="U3" s="171"/>
      <c r="W3" s="171"/>
      <c r="X3" s="172"/>
      <c r="Y3" s="171"/>
      <c r="Z3" s="171"/>
      <c r="AA3" s="171"/>
      <c r="AB3" s="171"/>
      <c r="AC3" s="171"/>
      <c r="AD3" s="171"/>
      <c r="AE3" s="171"/>
      <c r="AF3" s="171"/>
      <c r="AG3" s="171"/>
    </row>
    <row r="4" s="144" customFormat="1" ht="14.25" customHeight="1" spans="1:33">
      <c r="A4" s="57" t="s">
        <v>3</v>
      </c>
      <c r="B4" s="147" t="s">
        <v>4</v>
      </c>
      <c r="C4" s="147"/>
      <c r="D4" s="148" t="s">
        <v>5</v>
      </c>
      <c r="E4" s="148"/>
      <c r="F4" s="148"/>
      <c r="G4" s="149"/>
      <c r="H4" s="143" t="s">
        <v>6</v>
      </c>
      <c r="I4" s="143" t="s">
        <v>7</v>
      </c>
      <c r="J4" s="154" t="s">
        <v>8</v>
      </c>
      <c r="K4" s="137" t="s">
        <v>9</v>
      </c>
      <c r="L4" s="143" t="s">
        <v>10</v>
      </c>
      <c r="M4" s="143" t="s">
        <v>11</v>
      </c>
      <c r="N4" s="143" t="s">
        <v>12</v>
      </c>
      <c r="O4" s="57" t="s">
        <v>3</v>
      </c>
      <c r="P4" s="143" t="s">
        <v>6</v>
      </c>
      <c r="Q4" s="143" t="s">
        <v>7</v>
      </c>
      <c r="R4" s="154" t="s">
        <v>8</v>
      </c>
      <c r="S4" s="143" t="s">
        <v>9</v>
      </c>
      <c r="T4" s="143" t="s">
        <v>10</v>
      </c>
      <c r="U4" s="174"/>
      <c r="V4" s="175"/>
      <c r="W4" s="176"/>
      <c r="X4" s="177"/>
      <c r="Y4" s="187"/>
      <c r="Z4" s="187"/>
      <c r="AA4" s="187"/>
      <c r="AB4" s="187"/>
      <c r="AC4" s="187"/>
      <c r="AD4" s="187"/>
      <c r="AE4" s="187"/>
      <c r="AF4" s="187"/>
      <c r="AG4" s="187"/>
    </row>
    <row r="5" s="144" customFormat="1" ht="24" customHeight="1" spans="1:24">
      <c r="A5" s="57"/>
      <c r="B5" s="147" t="s">
        <v>13</v>
      </c>
      <c r="C5" s="147" t="s">
        <v>14</v>
      </c>
      <c r="D5" s="147" t="s">
        <v>15</v>
      </c>
      <c r="E5" s="147" t="s">
        <v>16</v>
      </c>
      <c r="F5" s="147" t="s">
        <v>17</v>
      </c>
      <c r="G5" s="143" t="s">
        <v>18</v>
      </c>
      <c r="H5" s="143"/>
      <c r="I5" s="143"/>
      <c r="J5" s="154"/>
      <c r="K5" s="137"/>
      <c r="L5" s="143"/>
      <c r="M5" s="143"/>
      <c r="N5" s="143"/>
      <c r="O5" s="57"/>
      <c r="P5" s="143"/>
      <c r="Q5" s="143"/>
      <c r="R5" s="154"/>
      <c r="S5" s="143"/>
      <c r="T5" s="143"/>
      <c r="U5" s="174"/>
      <c r="V5" s="175"/>
      <c r="W5" s="174"/>
      <c r="X5" s="178"/>
    </row>
    <row r="6" s="144" customFormat="1" ht="28.8" spans="1:24">
      <c r="A6" s="64" t="s">
        <v>19</v>
      </c>
      <c r="B6" s="65">
        <f>B16+B24</f>
        <v>397926</v>
      </c>
      <c r="C6" s="65">
        <f>C16+C24</f>
        <v>399136</v>
      </c>
      <c r="D6" s="65">
        <f>D16+D24</f>
        <v>424672</v>
      </c>
      <c r="E6" s="65">
        <f>E16+E24</f>
        <v>47470</v>
      </c>
      <c r="F6" s="65">
        <f>D6-B6</f>
        <v>26746</v>
      </c>
      <c r="G6" s="66">
        <f>D6/C6-1</f>
        <v>0.0639781928966567</v>
      </c>
      <c r="H6" s="150">
        <f>H17+H24</f>
        <v>50552</v>
      </c>
      <c r="I6" s="150">
        <f>I17+I24</f>
        <v>50872</v>
      </c>
      <c r="J6" s="150">
        <f>J17+J24</f>
        <v>50832</v>
      </c>
      <c r="K6" s="66">
        <f>J6/I6</f>
        <v>0.999213712847932</v>
      </c>
      <c r="L6" s="66">
        <f>((J6-H6)/H6)</f>
        <v>0.00553885108403228</v>
      </c>
      <c r="M6" s="155">
        <f>M18+M25</f>
        <v>47470</v>
      </c>
      <c r="N6" s="155">
        <f>N18+N25</f>
        <v>49603</v>
      </c>
      <c r="O6" s="92" t="s">
        <v>20</v>
      </c>
      <c r="P6" s="81"/>
      <c r="Q6" s="69"/>
      <c r="R6" s="69"/>
      <c r="S6" s="66"/>
      <c r="T6" s="66"/>
      <c r="U6" s="174"/>
      <c r="V6" s="179"/>
      <c r="W6" s="174"/>
      <c r="X6" s="178"/>
    </row>
    <row r="7" s="144" customFormat="1" spans="1:24">
      <c r="A7" s="68" t="s">
        <v>21</v>
      </c>
      <c r="B7" s="65">
        <v>286436</v>
      </c>
      <c r="C7" s="65">
        <f>102838+6205</f>
        <v>109043</v>
      </c>
      <c r="D7" s="65">
        <v>79866</v>
      </c>
      <c r="E7" s="65">
        <v>14952</v>
      </c>
      <c r="F7" s="65">
        <f>D7-B7</f>
        <v>-206570</v>
      </c>
      <c r="G7" s="66">
        <f>D7/C7-1</f>
        <v>-0.267573342626303</v>
      </c>
      <c r="H7" s="69">
        <v>14461</v>
      </c>
      <c r="I7" s="69">
        <v>15824</v>
      </c>
      <c r="J7" s="46">
        <v>15636</v>
      </c>
      <c r="K7" s="66">
        <f>J7/I7</f>
        <v>0.988119312436805</v>
      </c>
      <c r="L7" s="66">
        <f t="shared" ref="L7:L35" si="0">((J7-H7)/H7)</f>
        <v>0.0812530253786045</v>
      </c>
      <c r="M7" s="65">
        <v>14952</v>
      </c>
      <c r="N7" s="65">
        <v>15883</v>
      </c>
      <c r="O7" s="95" t="s">
        <v>22</v>
      </c>
      <c r="P7" s="69">
        <f>SUM(P8:P10)</f>
        <v>6488</v>
      </c>
      <c r="Q7" s="69">
        <f>SUM(Q8:Q10)</f>
        <v>6065</v>
      </c>
      <c r="R7" s="69">
        <f>SUM(R8:R10)</f>
        <v>6065</v>
      </c>
      <c r="S7" s="66">
        <f>R7/Q7</f>
        <v>1</v>
      </c>
      <c r="T7" s="66">
        <f t="shared" ref="T7:T31" si="1">((R7-P7)/P7)</f>
        <v>-0.0651972872996301</v>
      </c>
      <c r="U7" s="174"/>
      <c r="V7" s="179"/>
      <c r="W7" s="174"/>
      <c r="X7" s="178"/>
    </row>
    <row r="8" s="144" customFormat="1" ht="15.6" spans="1:24">
      <c r="A8" s="68" t="s">
        <v>23</v>
      </c>
      <c r="B8" s="65"/>
      <c r="C8" s="65">
        <v>178235</v>
      </c>
      <c r="D8" s="65">
        <v>247944</v>
      </c>
      <c r="E8" s="65"/>
      <c r="F8" s="65">
        <f t="shared" ref="F8:F16" si="2">D8-B8</f>
        <v>247944</v>
      </c>
      <c r="G8" s="66">
        <f t="shared" ref="G8:G13" si="3">D8/C8-1</f>
        <v>0.391107246051561</v>
      </c>
      <c r="H8" s="69">
        <v>0</v>
      </c>
      <c r="I8" s="69">
        <v>0</v>
      </c>
      <c r="J8" s="156"/>
      <c r="K8" s="66"/>
      <c r="L8" s="66"/>
      <c r="M8" s="65"/>
      <c r="N8" s="65"/>
      <c r="O8" s="157" t="s">
        <v>24</v>
      </c>
      <c r="P8" s="46">
        <v>6423</v>
      </c>
      <c r="Q8" s="180">
        <v>6000</v>
      </c>
      <c r="R8" s="180">
        <v>6000</v>
      </c>
      <c r="S8" s="66">
        <f>R8/Q8</f>
        <v>1</v>
      </c>
      <c r="T8" s="66">
        <f t="shared" si="1"/>
        <v>-0.0658570761326483</v>
      </c>
      <c r="U8" s="174"/>
      <c r="V8" s="179"/>
      <c r="W8" s="174"/>
      <c r="X8" s="178"/>
    </row>
    <row r="9" s="144" customFormat="1" ht="15.6" spans="1:24">
      <c r="A9" s="68" t="s">
        <v>25</v>
      </c>
      <c r="B9" s="65">
        <v>68333</v>
      </c>
      <c r="C9" s="65">
        <v>59013</v>
      </c>
      <c r="D9" s="65">
        <v>54994</v>
      </c>
      <c r="E9" s="65">
        <v>9899</v>
      </c>
      <c r="F9" s="65">
        <f t="shared" si="2"/>
        <v>-13339</v>
      </c>
      <c r="G9" s="66">
        <f t="shared" si="3"/>
        <v>-0.0681036381814176</v>
      </c>
      <c r="H9" s="69">
        <v>4522</v>
      </c>
      <c r="I9" s="69">
        <v>4004</v>
      </c>
      <c r="J9" s="46">
        <v>3579</v>
      </c>
      <c r="K9" s="66">
        <f>J9/I9</f>
        <v>0.893856143856144</v>
      </c>
      <c r="L9" s="66">
        <f t="shared" si="0"/>
        <v>-0.208536045997346</v>
      </c>
      <c r="M9" s="65"/>
      <c r="N9" s="65"/>
      <c r="O9" s="157" t="s">
        <v>26</v>
      </c>
      <c r="P9" s="158">
        <v>65</v>
      </c>
      <c r="Q9" s="180">
        <v>65</v>
      </c>
      <c r="R9" s="180">
        <v>65</v>
      </c>
      <c r="S9" s="66">
        <f>R9/Q9</f>
        <v>1</v>
      </c>
      <c r="T9" s="66">
        <f t="shared" si="1"/>
        <v>0</v>
      </c>
      <c r="U9" s="174"/>
      <c r="V9" s="179"/>
      <c r="W9" s="174"/>
      <c r="X9" s="178"/>
    </row>
    <row r="10" s="144" customFormat="1" spans="1:29">
      <c r="A10" s="68" t="s">
        <v>27</v>
      </c>
      <c r="B10" s="65">
        <v>30000</v>
      </c>
      <c r="C10" s="65">
        <v>19781</v>
      </c>
      <c r="D10" s="65">
        <v>19460</v>
      </c>
      <c r="E10" s="65">
        <v>2919</v>
      </c>
      <c r="F10" s="65">
        <f t="shared" si="2"/>
        <v>-10540</v>
      </c>
      <c r="G10" s="66">
        <f t="shared" si="3"/>
        <v>-0.0162276932409888</v>
      </c>
      <c r="H10" s="69">
        <v>1345</v>
      </c>
      <c r="I10" s="69">
        <v>1194.66666666667</v>
      </c>
      <c r="J10" s="46">
        <v>1234</v>
      </c>
      <c r="K10" s="66">
        <f t="shared" ref="K9:K24" si="4">J10/I10</f>
        <v>1.03292410714285</v>
      </c>
      <c r="L10" s="66">
        <f t="shared" si="0"/>
        <v>-0.0825278810408922</v>
      </c>
      <c r="M10" s="65">
        <v>9899</v>
      </c>
      <c r="N10" s="65">
        <v>10408</v>
      </c>
      <c r="O10" s="159"/>
      <c r="P10" s="158"/>
      <c r="Q10" s="181"/>
      <c r="R10" s="181"/>
      <c r="S10" s="66"/>
      <c r="T10" s="66"/>
      <c r="U10" s="174"/>
      <c r="V10" s="179"/>
      <c r="W10" s="179"/>
      <c r="X10" s="182"/>
      <c r="Y10" s="174"/>
      <c r="Z10" s="174"/>
      <c r="AA10" s="174"/>
      <c r="AB10" s="174"/>
      <c r="AC10" s="174"/>
    </row>
    <row r="11" s="144" customFormat="1" spans="1:29">
      <c r="A11" s="68" t="s">
        <v>28</v>
      </c>
      <c r="B11" s="65"/>
      <c r="C11" s="65">
        <v>22</v>
      </c>
      <c r="D11" s="65">
        <v>22</v>
      </c>
      <c r="E11" s="65">
        <v>22</v>
      </c>
      <c r="F11" s="65">
        <f t="shared" si="2"/>
        <v>22</v>
      </c>
      <c r="G11" s="66">
        <f t="shared" si="3"/>
        <v>0</v>
      </c>
      <c r="H11" s="69"/>
      <c r="I11" s="69">
        <v>4</v>
      </c>
      <c r="J11" s="46">
        <v>3</v>
      </c>
      <c r="K11" s="66"/>
      <c r="L11" s="66"/>
      <c r="M11" s="65">
        <v>2919</v>
      </c>
      <c r="N11" s="65">
        <v>2152</v>
      </c>
      <c r="O11" s="95" t="s">
        <v>29</v>
      </c>
      <c r="P11" s="69">
        <f t="shared" ref="P11:R11" si="5">SUM(P12:P33)</f>
        <v>140144</v>
      </c>
      <c r="Q11" s="69">
        <f t="shared" si="5"/>
        <v>148280.83</v>
      </c>
      <c r="R11" s="69">
        <f t="shared" si="5"/>
        <v>143648</v>
      </c>
      <c r="S11" s="66">
        <f>R11/Q11</f>
        <v>0.96875637936475</v>
      </c>
      <c r="T11" s="66">
        <f t="shared" si="1"/>
        <v>0.0250028542071013</v>
      </c>
      <c r="U11" s="174">
        <v>115952</v>
      </c>
      <c r="V11" s="179"/>
      <c r="W11" s="182">
        <f>U11/R11</f>
        <v>0.807195366451326</v>
      </c>
      <c r="X11" s="182"/>
      <c r="Y11" s="182">
        <f>P15/P11</f>
        <v>0.30689148304601</v>
      </c>
      <c r="Z11" s="182">
        <f>R15/R11</f>
        <v>0.310000835375362</v>
      </c>
      <c r="AA11" s="182">
        <f>Y11-Z11</f>
        <v>-0.00310935232935217</v>
      </c>
      <c r="AB11" s="174">
        <f>R11*AA11</f>
        <v>-446.65224340678</v>
      </c>
      <c r="AC11" s="174"/>
    </row>
    <row r="12" s="144" customFormat="1" ht="15.6" spans="1:29">
      <c r="A12" s="68" t="s">
        <v>30</v>
      </c>
      <c r="B12" s="65">
        <v>5714</v>
      </c>
      <c r="C12" s="65">
        <v>3673</v>
      </c>
      <c r="D12" s="65">
        <v>2548</v>
      </c>
      <c r="E12" s="65">
        <v>2548</v>
      </c>
      <c r="F12" s="65">
        <f t="shared" si="2"/>
        <v>-3166</v>
      </c>
      <c r="G12" s="66">
        <f t="shared" si="3"/>
        <v>-0.306289136945276</v>
      </c>
      <c r="H12" s="69">
        <v>6842</v>
      </c>
      <c r="I12" s="69">
        <v>6702.66666666667</v>
      </c>
      <c r="J12" s="46">
        <v>8986</v>
      </c>
      <c r="K12" s="66">
        <f t="shared" si="4"/>
        <v>1.34066043365824</v>
      </c>
      <c r="L12" s="66">
        <f t="shared" si="0"/>
        <v>0.313358667056416</v>
      </c>
      <c r="M12" s="65">
        <v>22</v>
      </c>
      <c r="N12" s="65">
        <v>21</v>
      </c>
      <c r="O12" s="160" t="s">
        <v>31</v>
      </c>
      <c r="P12" s="150">
        <v>15273</v>
      </c>
      <c r="Q12" s="183">
        <v>14529</v>
      </c>
      <c r="R12" s="46">
        <v>14371</v>
      </c>
      <c r="S12" s="66">
        <f t="shared" ref="S11:S31" si="6">R12/Q12</f>
        <v>0.989125197880102</v>
      </c>
      <c r="T12" s="66">
        <f t="shared" si="1"/>
        <v>-0.0590584691940025</v>
      </c>
      <c r="U12" s="174"/>
      <c r="V12" s="179"/>
      <c r="W12" s="174"/>
      <c r="X12" s="182"/>
      <c r="Y12" s="174"/>
      <c r="Z12" s="174"/>
      <c r="AA12" s="174"/>
      <c r="AB12" s="174"/>
      <c r="AC12" s="174"/>
    </row>
    <row r="13" s="144" customFormat="1" ht="15.6" spans="1:29">
      <c r="A13" s="68" t="s">
        <v>32</v>
      </c>
      <c r="B13" s="65">
        <v>1100</v>
      </c>
      <c r="C13" s="65">
        <v>3514</v>
      </c>
      <c r="D13" s="65">
        <v>2513</v>
      </c>
      <c r="E13" s="65">
        <v>2513</v>
      </c>
      <c r="F13" s="65">
        <f t="shared" si="2"/>
        <v>1413</v>
      </c>
      <c r="G13" s="66">
        <f t="shared" si="3"/>
        <v>-0.284860557768924</v>
      </c>
      <c r="H13" s="69">
        <v>2293</v>
      </c>
      <c r="I13" s="69">
        <v>1898.66666666667</v>
      </c>
      <c r="J13" s="46">
        <v>1891</v>
      </c>
      <c r="K13" s="66">
        <f t="shared" si="4"/>
        <v>0.995962078651684</v>
      </c>
      <c r="L13" s="66">
        <f t="shared" si="0"/>
        <v>-0.175316179677279</v>
      </c>
      <c r="M13" s="65">
        <v>2548</v>
      </c>
      <c r="N13" s="65">
        <v>4379</v>
      </c>
      <c r="O13" s="160" t="s">
        <v>33</v>
      </c>
      <c r="P13" s="161">
        <v>143</v>
      </c>
      <c r="Q13" s="183">
        <v>203</v>
      </c>
      <c r="R13" s="46">
        <v>105</v>
      </c>
      <c r="S13" s="66">
        <f t="shared" si="6"/>
        <v>0.517241379310345</v>
      </c>
      <c r="T13" s="66">
        <f t="shared" si="1"/>
        <v>-0.265734265734266</v>
      </c>
      <c r="U13" s="174"/>
      <c r="V13" s="179"/>
      <c r="W13" s="174"/>
      <c r="X13" s="182"/>
      <c r="Y13" s="188"/>
      <c r="Z13" s="131"/>
      <c r="AA13" s="131"/>
      <c r="AB13" s="131"/>
      <c r="AC13" s="174"/>
    </row>
    <row r="14" s="144" customFormat="1" ht="15.6" spans="1:29">
      <c r="A14" s="68" t="s">
        <v>34</v>
      </c>
      <c r="B14" s="65">
        <v>800</v>
      </c>
      <c r="C14" s="65">
        <v>288</v>
      </c>
      <c r="D14" s="65">
        <v>288</v>
      </c>
      <c r="E14" s="65">
        <v>288</v>
      </c>
      <c r="F14" s="65">
        <f t="shared" si="2"/>
        <v>-512</v>
      </c>
      <c r="G14" s="66"/>
      <c r="H14" s="69">
        <v>8478</v>
      </c>
      <c r="I14" s="69">
        <v>7500</v>
      </c>
      <c r="J14" s="46">
        <v>6242</v>
      </c>
      <c r="K14" s="66">
        <f t="shared" si="4"/>
        <v>0.832266666666667</v>
      </c>
      <c r="L14" s="66">
        <f t="shared" si="0"/>
        <v>-0.263741448454824</v>
      </c>
      <c r="M14" s="65">
        <v>2513</v>
      </c>
      <c r="N14" s="65">
        <v>2132</v>
      </c>
      <c r="O14" s="160" t="s">
        <v>35</v>
      </c>
      <c r="P14" s="161">
        <v>4825</v>
      </c>
      <c r="Q14" s="183">
        <v>3426</v>
      </c>
      <c r="R14" s="46">
        <v>3702</v>
      </c>
      <c r="S14" s="66">
        <f t="shared" si="6"/>
        <v>1.08056042031524</v>
      </c>
      <c r="T14" s="66">
        <f t="shared" si="1"/>
        <v>-0.232746113989637</v>
      </c>
      <c r="U14" s="174"/>
      <c r="V14" s="179">
        <v>100</v>
      </c>
      <c r="W14" s="174"/>
      <c r="X14" s="182"/>
      <c r="Y14" s="188"/>
      <c r="Z14" s="131"/>
      <c r="AA14" s="131"/>
      <c r="AB14" s="131"/>
      <c r="AC14" s="174"/>
    </row>
    <row r="15" s="144" customFormat="1" ht="15.6" spans="1:29">
      <c r="A15" s="68" t="s">
        <v>36</v>
      </c>
      <c r="B15" s="65">
        <v>500</v>
      </c>
      <c r="C15" s="65">
        <v>16864</v>
      </c>
      <c r="D15" s="65">
        <v>9527</v>
      </c>
      <c r="E15" s="65">
        <v>7622</v>
      </c>
      <c r="F15" s="65">
        <f t="shared" si="2"/>
        <v>9027</v>
      </c>
      <c r="G15" s="66">
        <f t="shared" ref="G15:G22" si="7">D15/C15-1</f>
        <v>-0.435068785578748</v>
      </c>
      <c r="H15" s="69">
        <v>4229</v>
      </c>
      <c r="I15" s="69">
        <v>4577.33333333333</v>
      </c>
      <c r="J15" s="46">
        <v>4649</v>
      </c>
      <c r="K15" s="66">
        <f t="shared" si="4"/>
        <v>1.01565685988931</v>
      </c>
      <c r="L15" s="66">
        <f t="shared" si="0"/>
        <v>0.0993142586899976</v>
      </c>
      <c r="M15" s="65">
        <v>288</v>
      </c>
      <c r="N15" s="65">
        <v>1778</v>
      </c>
      <c r="O15" s="160" t="s">
        <v>37</v>
      </c>
      <c r="P15" s="161">
        <v>43009</v>
      </c>
      <c r="Q15" s="183">
        <v>45264</v>
      </c>
      <c r="R15" s="46">
        <v>44531</v>
      </c>
      <c r="S15" s="66">
        <f t="shared" si="6"/>
        <v>0.983806115235065</v>
      </c>
      <c r="T15" s="66">
        <f t="shared" si="1"/>
        <v>0.0353879420586389</v>
      </c>
      <c r="U15" s="174"/>
      <c r="V15" s="179"/>
      <c r="W15" s="174"/>
      <c r="X15" s="182"/>
      <c r="Y15" s="188"/>
      <c r="Z15" s="131"/>
      <c r="AA15" s="131"/>
      <c r="AB15" s="131"/>
      <c r="AC15" s="174"/>
    </row>
    <row r="16" s="144" customFormat="1" ht="15.6" spans="1:29">
      <c r="A16" s="68" t="s">
        <v>38</v>
      </c>
      <c r="B16" s="65">
        <f>SUM(B7:B15)</f>
        <v>392883</v>
      </c>
      <c r="C16" s="65">
        <f>SUM(C7:C15)</f>
        <v>390433</v>
      </c>
      <c r="D16" s="65">
        <f>SUM(D7:D15)</f>
        <v>417162</v>
      </c>
      <c r="E16" s="65">
        <f>SUM(E7:E15)</f>
        <v>40763</v>
      </c>
      <c r="F16" s="65">
        <f t="shared" si="2"/>
        <v>24279</v>
      </c>
      <c r="G16" s="66">
        <f t="shared" si="7"/>
        <v>0.0684598894048403</v>
      </c>
      <c r="H16" s="69">
        <v>-2</v>
      </c>
      <c r="I16" s="69"/>
      <c r="J16" s="156"/>
      <c r="K16" s="66"/>
      <c r="L16" s="66">
        <f t="shared" si="0"/>
        <v>-1</v>
      </c>
      <c r="M16" s="65">
        <v>7622</v>
      </c>
      <c r="N16" s="65">
        <v>4850</v>
      </c>
      <c r="O16" s="160" t="s">
        <v>39</v>
      </c>
      <c r="P16" s="161">
        <v>703</v>
      </c>
      <c r="Q16" s="183">
        <v>1474</v>
      </c>
      <c r="R16" s="46">
        <v>1748</v>
      </c>
      <c r="S16" s="66">
        <f t="shared" si="6"/>
        <v>1.18588873812754</v>
      </c>
      <c r="T16" s="66">
        <f t="shared" si="1"/>
        <v>1.48648648648649</v>
      </c>
      <c r="U16" s="174">
        <f>R11+R7</f>
        <v>149713</v>
      </c>
      <c r="V16" s="179"/>
      <c r="W16" s="174"/>
      <c r="X16" s="182"/>
      <c r="Y16" s="188"/>
      <c r="Z16" s="131"/>
      <c r="AA16" s="131"/>
      <c r="AB16" s="131"/>
      <c r="AC16" s="174"/>
    </row>
    <row r="17" s="144" customFormat="1" ht="15.6" spans="1:29">
      <c r="A17" s="64" t="s">
        <v>40</v>
      </c>
      <c r="B17" s="65"/>
      <c r="C17" s="65"/>
      <c r="D17" s="65"/>
      <c r="E17" s="65"/>
      <c r="F17" s="65"/>
      <c r="G17" s="66"/>
      <c r="H17" s="69">
        <f>SUM(H7:H16)</f>
        <v>42168</v>
      </c>
      <c r="I17" s="69">
        <f>SUM(I7:I16)</f>
        <v>41705.3333333333</v>
      </c>
      <c r="J17" s="69">
        <f>SUM(J7:J16)</f>
        <v>42220</v>
      </c>
      <c r="K17" s="66">
        <f t="shared" si="4"/>
        <v>1.01234054797148</v>
      </c>
      <c r="L17" s="66">
        <f t="shared" si="0"/>
        <v>0.00123316258774426</v>
      </c>
      <c r="M17" s="162"/>
      <c r="N17" s="65">
        <v>-4</v>
      </c>
      <c r="O17" s="160" t="s">
        <v>41</v>
      </c>
      <c r="P17" s="161">
        <v>885</v>
      </c>
      <c r="Q17" s="183">
        <v>184.93</v>
      </c>
      <c r="R17" s="46">
        <v>179</v>
      </c>
      <c r="S17" s="66">
        <f t="shared" si="6"/>
        <v>0.96793381279403</v>
      </c>
      <c r="T17" s="66">
        <f t="shared" si="1"/>
        <v>-0.79774011299435</v>
      </c>
      <c r="U17" s="174">
        <f>P11+P7</f>
        <v>146632</v>
      </c>
      <c r="V17" s="179"/>
      <c r="W17" s="174"/>
      <c r="X17" s="182"/>
      <c r="Y17" s="188"/>
      <c r="Z17" s="131"/>
      <c r="AA17" s="131"/>
      <c r="AB17" s="131"/>
      <c r="AC17" s="174"/>
    </row>
    <row r="18" s="144" customFormat="1" ht="15.6" spans="1:29">
      <c r="A18" s="151"/>
      <c r="B18" s="151"/>
      <c r="C18" s="151"/>
      <c r="D18" s="151"/>
      <c r="E18" s="151"/>
      <c r="F18" s="151"/>
      <c r="G18" s="151"/>
      <c r="H18" s="107"/>
      <c r="I18" s="107"/>
      <c r="J18" s="107"/>
      <c r="K18" s="66"/>
      <c r="L18" s="66"/>
      <c r="M18" s="65">
        <f>SUM(M7:M17)</f>
        <v>40763</v>
      </c>
      <c r="N18" s="65">
        <f>SUM(N7:N17)</f>
        <v>41599</v>
      </c>
      <c r="O18" s="159" t="s">
        <v>42</v>
      </c>
      <c r="P18" s="161">
        <v>31493</v>
      </c>
      <c r="Q18" s="183">
        <v>36080.9</v>
      </c>
      <c r="R18" s="46">
        <v>35631</v>
      </c>
      <c r="S18" s="66">
        <f t="shared" si="6"/>
        <v>0.98753079884371</v>
      </c>
      <c r="T18" s="66">
        <f t="shared" si="1"/>
        <v>0.131394278093545</v>
      </c>
      <c r="U18" s="174">
        <f>(U16-U17)/U17</f>
        <v>0.0210117846036336</v>
      </c>
      <c r="V18" s="179"/>
      <c r="W18" s="174"/>
      <c r="X18" s="182"/>
      <c r="Y18" s="188"/>
      <c r="Z18" s="131"/>
      <c r="AA18" s="131"/>
      <c r="AB18" s="131"/>
      <c r="AC18" s="174"/>
    </row>
    <row r="19" s="144" customFormat="1" ht="15.6" spans="1:29">
      <c r="A19" s="68" t="s">
        <v>43</v>
      </c>
      <c r="B19" s="65">
        <v>2143</v>
      </c>
      <c r="C19" s="65">
        <v>7161</v>
      </c>
      <c r="D19" s="65">
        <v>4015</v>
      </c>
      <c r="E19" s="65">
        <v>3212</v>
      </c>
      <c r="F19" s="65">
        <f t="shared" ref="F19:F22" si="8">D19-B19</f>
        <v>1872</v>
      </c>
      <c r="G19" s="66">
        <f t="shared" si="7"/>
        <v>-0.439324116743472</v>
      </c>
      <c r="H19" s="74">
        <v>1798</v>
      </c>
      <c r="I19" s="74">
        <v>2500</v>
      </c>
      <c r="J19" s="46">
        <v>2631</v>
      </c>
      <c r="K19" s="66">
        <f t="shared" si="4"/>
        <v>1.0524</v>
      </c>
      <c r="L19" s="66">
        <f t="shared" si="0"/>
        <v>0.46329254727475</v>
      </c>
      <c r="M19" s="151"/>
      <c r="N19" s="151"/>
      <c r="O19" s="159" t="s">
        <v>44</v>
      </c>
      <c r="P19" s="161">
        <v>9455</v>
      </c>
      <c r="Q19" s="183">
        <v>11928</v>
      </c>
      <c r="R19" s="46">
        <v>11033</v>
      </c>
      <c r="S19" s="66">
        <f t="shared" si="6"/>
        <v>0.924966465459423</v>
      </c>
      <c r="T19" s="66">
        <f t="shared" si="1"/>
        <v>0.166895822316235</v>
      </c>
      <c r="U19" s="174"/>
      <c r="V19" s="179"/>
      <c r="W19" s="174"/>
      <c r="X19" s="182"/>
      <c r="Y19" s="189"/>
      <c r="Z19" s="131"/>
      <c r="AA19" s="131"/>
      <c r="AB19" s="131"/>
      <c r="AC19" s="174"/>
    </row>
    <row r="20" s="144" customFormat="1" ht="15.6" spans="1:29">
      <c r="A20" s="68" t="s">
        <v>45</v>
      </c>
      <c r="B20" s="65">
        <v>2000</v>
      </c>
      <c r="C20" s="65">
        <v>912</v>
      </c>
      <c r="D20" s="65">
        <v>2013</v>
      </c>
      <c r="E20" s="65">
        <v>2013</v>
      </c>
      <c r="F20" s="65">
        <f t="shared" si="8"/>
        <v>13</v>
      </c>
      <c r="G20" s="66">
        <f t="shared" si="7"/>
        <v>1.20723684210526</v>
      </c>
      <c r="H20" s="74">
        <v>813</v>
      </c>
      <c r="I20" s="74">
        <v>544</v>
      </c>
      <c r="J20" s="46">
        <v>564</v>
      </c>
      <c r="K20" s="66">
        <f t="shared" si="4"/>
        <v>1.03676470588235</v>
      </c>
      <c r="L20" s="66">
        <f t="shared" si="0"/>
        <v>-0.306273062730627</v>
      </c>
      <c r="M20" s="65">
        <v>3212</v>
      </c>
      <c r="N20" s="65">
        <v>2125</v>
      </c>
      <c r="O20" s="160" t="s">
        <v>46</v>
      </c>
      <c r="P20" s="161">
        <v>34</v>
      </c>
      <c r="Q20" s="183">
        <v>6</v>
      </c>
      <c r="R20" s="46">
        <v>6</v>
      </c>
      <c r="S20" s="66">
        <f t="shared" si="6"/>
        <v>1</v>
      </c>
      <c r="T20" s="66">
        <f t="shared" si="1"/>
        <v>-0.823529411764706</v>
      </c>
      <c r="U20" s="174"/>
      <c r="V20" s="179"/>
      <c r="W20" s="174"/>
      <c r="X20" s="182"/>
      <c r="Y20" s="189"/>
      <c r="Z20" s="131"/>
      <c r="AA20" s="131"/>
      <c r="AB20" s="131"/>
      <c r="AC20" s="174"/>
    </row>
    <row r="21" s="144" customFormat="1" ht="15.6" spans="1:29">
      <c r="A21" s="68" t="s">
        <v>47</v>
      </c>
      <c r="B21" s="65">
        <v>700</v>
      </c>
      <c r="C21" s="65">
        <v>530</v>
      </c>
      <c r="D21" s="65">
        <v>1382</v>
      </c>
      <c r="E21" s="65">
        <v>1382</v>
      </c>
      <c r="F21" s="65">
        <f t="shared" si="8"/>
        <v>682</v>
      </c>
      <c r="G21" s="66">
        <f t="shared" si="7"/>
        <v>1.60754716981132</v>
      </c>
      <c r="H21" s="74">
        <v>966</v>
      </c>
      <c r="I21" s="74">
        <v>313.333333333333</v>
      </c>
      <c r="J21" s="46">
        <v>470</v>
      </c>
      <c r="K21" s="66">
        <f t="shared" si="4"/>
        <v>1.5</v>
      </c>
      <c r="L21" s="66">
        <f t="shared" si="0"/>
        <v>-0.513457556935818</v>
      </c>
      <c r="M21" s="65">
        <v>2013</v>
      </c>
      <c r="N21" s="65">
        <v>2495</v>
      </c>
      <c r="O21" s="159" t="s">
        <v>48</v>
      </c>
      <c r="P21" s="161">
        <v>13767</v>
      </c>
      <c r="Q21" s="183">
        <v>10838</v>
      </c>
      <c r="R21" s="46">
        <v>9398</v>
      </c>
      <c r="S21" s="66">
        <f t="shared" si="6"/>
        <v>0.867134157593652</v>
      </c>
      <c r="T21" s="66">
        <f t="shared" si="1"/>
        <v>-0.317353090724196</v>
      </c>
      <c r="U21" s="174"/>
      <c r="V21" s="179"/>
      <c r="W21" s="174"/>
      <c r="X21" s="182"/>
      <c r="Y21" s="188"/>
      <c r="Z21" s="131"/>
      <c r="AA21" s="131"/>
      <c r="AB21" s="131"/>
      <c r="AC21" s="174"/>
    </row>
    <row r="22" s="144" customFormat="1" ht="15.6" spans="1:29">
      <c r="A22" s="68" t="s">
        <v>49</v>
      </c>
      <c r="B22" s="65">
        <v>200</v>
      </c>
      <c r="C22" s="65">
        <v>100</v>
      </c>
      <c r="D22" s="65">
        <v>100</v>
      </c>
      <c r="E22" s="65">
        <v>100</v>
      </c>
      <c r="F22" s="65">
        <f t="shared" si="8"/>
        <v>-100</v>
      </c>
      <c r="G22" s="66">
        <f t="shared" si="7"/>
        <v>0</v>
      </c>
      <c r="H22" s="74">
        <v>4718</v>
      </c>
      <c r="I22" s="74">
        <v>5800</v>
      </c>
      <c r="J22" s="46">
        <v>4940</v>
      </c>
      <c r="K22" s="66">
        <f t="shared" si="4"/>
        <v>0.851724137931035</v>
      </c>
      <c r="L22" s="66">
        <f t="shared" si="0"/>
        <v>0.0470538363713438</v>
      </c>
      <c r="M22" s="65">
        <v>1382</v>
      </c>
      <c r="N22" s="65">
        <v>2720</v>
      </c>
      <c r="O22" s="159" t="s">
        <v>50</v>
      </c>
      <c r="P22" s="161">
        <v>8816</v>
      </c>
      <c r="Q22" s="183">
        <v>10828</v>
      </c>
      <c r="R22" s="46">
        <v>12230</v>
      </c>
      <c r="S22" s="66">
        <f t="shared" si="6"/>
        <v>1.12947912818618</v>
      </c>
      <c r="T22" s="66">
        <f t="shared" si="1"/>
        <v>0.387250453720508</v>
      </c>
      <c r="U22" s="174"/>
      <c r="V22" s="179"/>
      <c r="W22" s="174"/>
      <c r="X22" s="182"/>
      <c r="Y22" s="189"/>
      <c r="Z22" s="131"/>
      <c r="AA22" s="131"/>
      <c r="AB22" s="131"/>
      <c r="AC22" s="174"/>
    </row>
    <row r="23" s="144" customFormat="1" ht="15.6" spans="1:29">
      <c r="A23" s="68" t="s">
        <v>51</v>
      </c>
      <c r="B23" s="65"/>
      <c r="C23" s="65"/>
      <c r="D23" s="65"/>
      <c r="E23" s="65"/>
      <c r="F23" s="65"/>
      <c r="G23" s="66"/>
      <c r="H23" s="69">
        <v>89</v>
      </c>
      <c r="I23" s="69">
        <v>9.33333333333333</v>
      </c>
      <c r="J23" s="156">
        <v>7</v>
      </c>
      <c r="K23" s="66"/>
      <c r="L23" s="66"/>
      <c r="M23" s="65">
        <v>100</v>
      </c>
      <c r="N23" s="65">
        <v>664</v>
      </c>
      <c r="O23" s="159" t="s">
        <v>52</v>
      </c>
      <c r="P23" s="161">
        <v>385</v>
      </c>
      <c r="Q23" s="183">
        <v>186</v>
      </c>
      <c r="R23" s="46">
        <v>159</v>
      </c>
      <c r="S23" s="66">
        <f t="shared" si="6"/>
        <v>0.854838709677419</v>
      </c>
      <c r="T23" s="66">
        <f t="shared" si="1"/>
        <v>-0.587012987012987</v>
      </c>
      <c r="U23" s="174"/>
      <c r="V23" s="179"/>
      <c r="W23" s="174"/>
      <c r="X23" s="182"/>
      <c r="Y23" s="189"/>
      <c r="Z23" s="131"/>
      <c r="AA23" s="131"/>
      <c r="AB23" s="131"/>
      <c r="AC23" s="174"/>
    </row>
    <row r="24" s="144" customFormat="1" ht="15.6" spans="1:29">
      <c r="A24" s="64" t="s">
        <v>53</v>
      </c>
      <c r="B24" s="65">
        <f>SUM(B19:B23)</f>
        <v>5043</v>
      </c>
      <c r="C24" s="65">
        <f t="shared" ref="C24:E24" si="9">SUM(C19:C23)</f>
        <v>8703</v>
      </c>
      <c r="D24" s="65">
        <f t="shared" si="9"/>
        <v>7510</v>
      </c>
      <c r="E24" s="65">
        <f t="shared" si="9"/>
        <v>6707</v>
      </c>
      <c r="F24" s="65">
        <f>D24-B24</f>
        <v>2467</v>
      </c>
      <c r="G24" s="66">
        <f>D24/C24-1</f>
        <v>-0.137079168102953</v>
      </c>
      <c r="H24" s="69">
        <f>SUM(H19:H23)</f>
        <v>8384</v>
      </c>
      <c r="I24" s="69">
        <f>SUM(I19:I23)</f>
        <v>9166.66666666667</v>
      </c>
      <c r="J24" s="69">
        <f>SUM(J19:J23)</f>
        <v>8612</v>
      </c>
      <c r="K24" s="66">
        <f t="shared" si="4"/>
        <v>0.939490909090909</v>
      </c>
      <c r="L24" s="66">
        <f t="shared" si="0"/>
        <v>0.0271946564885496</v>
      </c>
      <c r="M24" s="65"/>
      <c r="N24" s="65"/>
      <c r="O24" s="160" t="s">
        <v>54</v>
      </c>
      <c r="P24" s="161">
        <v>1463</v>
      </c>
      <c r="Q24" s="183">
        <v>554</v>
      </c>
      <c r="R24" s="46">
        <v>409</v>
      </c>
      <c r="S24" s="66">
        <f t="shared" si="6"/>
        <v>0.73826714801444</v>
      </c>
      <c r="T24" s="66">
        <f t="shared" si="1"/>
        <v>-0.720437457279563</v>
      </c>
      <c r="U24" s="174"/>
      <c r="V24" s="179"/>
      <c r="W24" s="174"/>
      <c r="X24" s="182"/>
      <c r="Y24" s="188"/>
      <c r="Z24" s="131"/>
      <c r="AA24" s="131"/>
      <c r="AB24" s="131"/>
      <c r="AC24" s="174"/>
    </row>
    <row r="25" s="144" customFormat="1" ht="15.6" spans="1:29">
      <c r="A25" s="68"/>
      <c r="B25" s="68"/>
      <c r="C25" s="68"/>
      <c r="D25" s="68"/>
      <c r="E25" s="68"/>
      <c r="F25" s="68"/>
      <c r="G25" s="68"/>
      <c r="H25" s="69"/>
      <c r="I25" s="69"/>
      <c r="J25" s="69"/>
      <c r="K25" s="66"/>
      <c r="L25" s="66"/>
      <c r="M25" s="65">
        <f>SUM(M20:M24)</f>
        <v>6707</v>
      </c>
      <c r="N25" s="65">
        <f>SUM(N20:N24)</f>
        <v>8004</v>
      </c>
      <c r="O25" s="160" t="s">
        <v>55</v>
      </c>
      <c r="P25" s="161">
        <v>249</v>
      </c>
      <c r="Q25" s="183">
        <v>200</v>
      </c>
      <c r="R25" s="46">
        <v>165</v>
      </c>
      <c r="S25" s="66">
        <f t="shared" si="6"/>
        <v>0.825</v>
      </c>
      <c r="T25" s="66">
        <f t="shared" si="1"/>
        <v>-0.337349397590361</v>
      </c>
      <c r="U25" s="174"/>
      <c r="V25" s="179"/>
      <c r="W25" s="174"/>
      <c r="X25" s="182"/>
      <c r="Y25" s="188"/>
      <c r="Z25" s="131"/>
      <c r="AA25" s="131"/>
      <c r="AB25" s="131"/>
      <c r="AC25" s="174"/>
    </row>
    <row r="26" s="144" customFormat="1" ht="15.6" spans="1:29">
      <c r="A26" s="64" t="s">
        <v>56</v>
      </c>
      <c r="B26" s="68"/>
      <c r="C26" s="68"/>
      <c r="D26" s="68"/>
      <c r="E26" s="68"/>
      <c r="F26" s="68"/>
      <c r="G26" s="68"/>
      <c r="H26" s="46">
        <v>7721</v>
      </c>
      <c r="I26" s="46">
        <v>7721</v>
      </c>
      <c r="J26" s="46">
        <v>7721</v>
      </c>
      <c r="K26" s="66">
        <f>J26/I26</f>
        <v>1</v>
      </c>
      <c r="L26" s="66">
        <f>((J26-H26)/H26)</f>
        <v>0</v>
      </c>
      <c r="M26" s="68"/>
      <c r="N26" s="68"/>
      <c r="O26" s="160" t="s">
        <v>57</v>
      </c>
      <c r="P26" s="161">
        <v>996</v>
      </c>
      <c r="Q26" s="183">
        <v>3871</v>
      </c>
      <c r="R26" s="46">
        <v>3068</v>
      </c>
      <c r="S26" s="66">
        <f t="shared" si="6"/>
        <v>0.792560061999483</v>
      </c>
      <c r="T26" s="66">
        <f t="shared" si="1"/>
        <v>2.08032128514056</v>
      </c>
      <c r="U26" s="174">
        <v>121395</v>
      </c>
      <c r="V26" s="179"/>
      <c r="W26" s="174">
        <v>116669</v>
      </c>
      <c r="X26" s="182"/>
      <c r="Y26" s="188"/>
      <c r="Z26" s="131"/>
      <c r="AA26" s="131"/>
      <c r="AB26" s="131"/>
      <c r="AC26" s="174"/>
    </row>
    <row r="27" s="144" customFormat="1" ht="15.6" spans="1:29">
      <c r="A27" s="64" t="s">
        <v>58</v>
      </c>
      <c r="B27" s="68"/>
      <c r="C27" s="68"/>
      <c r="D27" s="68"/>
      <c r="E27" s="68"/>
      <c r="F27" s="68"/>
      <c r="G27" s="68"/>
      <c r="H27" s="69">
        <v>23038</v>
      </c>
      <c r="I27" s="69">
        <v>23038</v>
      </c>
      <c r="J27" s="69">
        <v>23038</v>
      </c>
      <c r="K27" s="66">
        <f>J27/I27</f>
        <v>1</v>
      </c>
      <c r="L27" s="66">
        <f>((J27-H27)/H27)</f>
        <v>0</v>
      </c>
      <c r="M27" s="68"/>
      <c r="N27" s="68"/>
      <c r="O27" s="160" t="s">
        <v>59</v>
      </c>
      <c r="P27" s="161">
        <v>148</v>
      </c>
      <c r="Q27" s="183">
        <v>247</v>
      </c>
      <c r="R27" s="46">
        <v>163</v>
      </c>
      <c r="S27" s="66">
        <f t="shared" si="6"/>
        <v>0.659919028340081</v>
      </c>
      <c r="T27" s="66">
        <f t="shared" si="1"/>
        <v>0.101351351351351</v>
      </c>
      <c r="U27" s="182">
        <f>U26/R11</f>
        <v>0.845086600579194</v>
      </c>
      <c r="V27" s="179"/>
      <c r="W27" s="182">
        <f>W26/P11</f>
        <v>0.832493720744377</v>
      </c>
      <c r="X27" s="182">
        <f>U27-W27</f>
        <v>0.0125928798348164</v>
      </c>
      <c r="Y27" s="188"/>
      <c r="Z27" s="131"/>
      <c r="AA27" s="131"/>
      <c r="AB27" s="131"/>
      <c r="AC27" s="174"/>
    </row>
    <row r="28" s="144" customFormat="1" ht="15.6" spans="1:29">
      <c r="A28" s="64" t="s">
        <v>60</v>
      </c>
      <c r="B28" s="68"/>
      <c r="C28" s="68"/>
      <c r="D28" s="68"/>
      <c r="E28" s="68"/>
      <c r="F28" s="68"/>
      <c r="G28" s="68"/>
      <c r="H28" s="69">
        <v>25959</v>
      </c>
      <c r="I28" s="69">
        <v>25959</v>
      </c>
      <c r="J28" s="75">
        <v>27129</v>
      </c>
      <c r="K28" s="66">
        <f>J28/I28</f>
        <v>1.04507107361609</v>
      </c>
      <c r="L28" s="66">
        <f>((J28-H28)/H28)</f>
        <v>0.0450710736160869</v>
      </c>
      <c r="M28" s="68"/>
      <c r="N28" s="68"/>
      <c r="O28" s="160" t="s">
        <v>61</v>
      </c>
      <c r="P28" s="161">
        <v>7725</v>
      </c>
      <c r="Q28" s="183">
        <v>7571</v>
      </c>
      <c r="R28" s="46">
        <v>5418</v>
      </c>
      <c r="S28" s="66">
        <f t="shared" si="6"/>
        <v>0.715625412759213</v>
      </c>
      <c r="T28" s="66">
        <f t="shared" si="1"/>
        <v>-0.298640776699029</v>
      </c>
      <c r="U28" s="174"/>
      <c r="V28" s="179"/>
      <c r="W28" s="174"/>
      <c r="X28" s="182"/>
      <c r="Y28" s="188"/>
      <c r="Z28" s="131"/>
      <c r="AA28" s="131"/>
      <c r="AB28" s="131"/>
      <c r="AC28" s="174"/>
    </row>
    <row r="29" s="144" customFormat="1" ht="15.6" spans="1:29">
      <c r="A29" s="68"/>
      <c r="B29" s="68"/>
      <c r="C29" s="68"/>
      <c r="D29" s="68"/>
      <c r="E29" s="68"/>
      <c r="F29" s="68"/>
      <c r="G29" s="68"/>
      <c r="H29" s="69"/>
      <c r="I29" s="69"/>
      <c r="J29" s="69"/>
      <c r="K29" s="66"/>
      <c r="L29" s="66"/>
      <c r="M29" s="68"/>
      <c r="N29" s="68"/>
      <c r="O29" s="160" t="s">
        <v>62</v>
      </c>
      <c r="P29" s="161">
        <v>581</v>
      </c>
      <c r="Q29" s="183">
        <v>796</v>
      </c>
      <c r="R29" s="46">
        <v>974</v>
      </c>
      <c r="S29" s="66">
        <f t="shared" si="6"/>
        <v>1.22361809045226</v>
      </c>
      <c r="T29" s="66">
        <f t="shared" si="1"/>
        <v>0.676419965576592</v>
      </c>
      <c r="U29" s="174"/>
      <c r="V29" s="179"/>
      <c r="W29" s="174"/>
      <c r="X29" s="182"/>
      <c r="Y29" s="188"/>
      <c r="Z29" s="131"/>
      <c r="AA29" s="131"/>
      <c r="AB29" s="131"/>
      <c r="AC29" s="174"/>
    </row>
    <row r="30" s="144" customFormat="1" ht="15.6" spans="1:29">
      <c r="A30" s="64" t="s">
        <v>63</v>
      </c>
      <c r="B30" s="68"/>
      <c r="C30" s="68"/>
      <c r="D30" s="68"/>
      <c r="E30" s="68"/>
      <c r="F30" s="68"/>
      <c r="G30" s="68"/>
      <c r="H30" s="69"/>
      <c r="I30" s="69">
        <v>4500</v>
      </c>
      <c r="J30" s="69"/>
      <c r="K30" s="66"/>
      <c r="L30" s="66"/>
      <c r="M30" s="68"/>
      <c r="N30" s="68"/>
      <c r="O30" s="160" t="s">
        <v>64</v>
      </c>
      <c r="P30" s="161">
        <v>53</v>
      </c>
      <c r="Q30" s="184"/>
      <c r="R30" s="46"/>
      <c r="S30" s="66"/>
      <c r="T30" s="66">
        <f t="shared" si="1"/>
        <v>-1</v>
      </c>
      <c r="U30" s="174"/>
      <c r="V30" s="179"/>
      <c r="W30" s="174"/>
      <c r="X30" s="182"/>
      <c r="Y30" s="188"/>
      <c r="Z30" s="131"/>
      <c r="AA30" s="131"/>
      <c r="AB30" s="131"/>
      <c r="AC30" s="174"/>
    </row>
    <row r="31" s="144" customFormat="1" ht="15.6" spans="1:29">
      <c r="A31" s="64" t="s">
        <v>65</v>
      </c>
      <c r="B31" s="68"/>
      <c r="C31" s="68"/>
      <c r="D31" s="68"/>
      <c r="E31" s="68"/>
      <c r="F31" s="68"/>
      <c r="G31" s="68"/>
      <c r="H31" s="69">
        <v>616</v>
      </c>
      <c r="I31" s="69"/>
      <c r="J31" s="69"/>
      <c r="K31" s="66"/>
      <c r="L31" s="66"/>
      <c r="M31" s="68"/>
      <c r="N31" s="68"/>
      <c r="O31" s="160" t="s">
        <v>66</v>
      </c>
      <c r="P31" s="161">
        <v>131</v>
      </c>
      <c r="Q31" s="183">
        <v>94</v>
      </c>
      <c r="R31" s="150">
        <v>352</v>
      </c>
      <c r="S31" s="66"/>
      <c r="T31" s="66"/>
      <c r="U31" s="174"/>
      <c r="V31" s="179"/>
      <c r="W31" s="174"/>
      <c r="X31" s="182"/>
      <c r="Y31" s="188"/>
      <c r="Z31" s="131"/>
      <c r="AA31" s="131"/>
      <c r="AB31" s="131"/>
      <c r="AC31" s="174"/>
    </row>
    <row r="32" s="144" customFormat="1" spans="1:29">
      <c r="A32" s="64"/>
      <c r="B32" s="68"/>
      <c r="C32" s="68"/>
      <c r="D32" s="68"/>
      <c r="E32" s="68"/>
      <c r="F32" s="68"/>
      <c r="G32" s="68"/>
      <c r="H32" s="69"/>
      <c r="I32" s="69"/>
      <c r="J32" s="69"/>
      <c r="K32" s="66"/>
      <c r="L32" s="66"/>
      <c r="M32" s="68"/>
      <c r="N32" s="68"/>
      <c r="O32" s="160" t="s">
        <v>67</v>
      </c>
      <c r="P32" s="161">
        <v>10</v>
      </c>
      <c r="Q32" s="69"/>
      <c r="R32" s="150">
        <v>6</v>
      </c>
      <c r="S32" s="66"/>
      <c r="T32" s="66"/>
      <c r="U32" s="174"/>
      <c r="V32" s="179"/>
      <c r="W32" s="174"/>
      <c r="X32" s="182"/>
      <c r="Y32" s="188"/>
      <c r="Z32" s="131"/>
      <c r="AA32" s="131"/>
      <c r="AB32" s="131"/>
      <c r="AC32" s="174"/>
    </row>
    <row r="33" s="144" customFormat="1" spans="1:29">
      <c r="A33" s="64" t="s">
        <v>68</v>
      </c>
      <c r="B33" s="65">
        <v>11465</v>
      </c>
      <c r="C33" s="65">
        <v>40914</v>
      </c>
      <c r="D33" s="65">
        <v>38500</v>
      </c>
      <c r="E33" s="65">
        <v>38500</v>
      </c>
      <c r="F33" s="65">
        <f>D33-B33</f>
        <v>27035</v>
      </c>
      <c r="G33" s="66">
        <f>D33/C33-1</f>
        <v>-0.0590018086718482</v>
      </c>
      <c r="H33" s="69">
        <v>52027</v>
      </c>
      <c r="I33" s="69">
        <v>51282</v>
      </c>
      <c r="J33" s="69">
        <v>57811</v>
      </c>
      <c r="K33" s="66">
        <f>J33/I33</f>
        <v>1.12731562731563</v>
      </c>
      <c r="L33" s="66">
        <f>((J33-H33)/H33)</f>
        <v>0.111173044765218</v>
      </c>
      <c r="M33" s="68"/>
      <c r="N33" s="68"/>
      <c r="O33" s="160" t="s">
        <v>69</v>
      </c>
      <c r="P33" s="163"/>
      <c r="Q33" s="69"/>
      <c r="R33" s="69"/>
      <c r="S33" s="66"/>
      <c r="T33" s="66"/>
      <c r="U33" s="174"/>
      <c r="V33" s="179"/>
      <c r="W33" s="174"/>
      <c r="X33" s="182"/>
      <c r="Y33" s="188"/>
      <c r="Z33" s="131"/>
      <c r="AA33" s="131"/>
      <c r="AB33" s="131"/>
      <c r="AC33" s="174"/>
    </row>
    <row r="34" s="144" customFormat="1" ht="28.8" spans="1:29">
      <c r="A34" s="79" t="s">
        <v>70</v>
      </c>
      <c r="B34" s="65"/>
      <c r="C34" s="65"/>
      <c r="D34" s="65"/>
      <c r="E34" s="65"/>
      <c r="F34" s="65"/>
      <c r="G34" s="66"/>
      <c r="H34" s="81">
        <v>6725</v>
      </c>
      <c r="I34" s="81"/>
      <c r="J34" s="81"/>
      <c r="K34" s="66"/>
      <c r="L34" s="66">
        <f>((J34-H34)/H34)</f>
        <v>-1</v>
      </c>
      <c r="M34" s="65">
        <v>38500</v>
      </c>
      <c r="N34" s="65">
        <v>62219</v>
      </c>
      <c r="O34" s="95" t="s">
        <v>71</v>
      </c>
      <c r="P34" s="81">
        <v>3469</v>
      </c>
      <c r="Q34" s="81"/>
      <c r="R34" s="81"/>
      <c r="S34" s="66"/>
      <c r="T34" s="66"/>
      <c r="U34" s="174"/>
      <c r="V34" s="179"/>
      <c r="W34" s="174"/>
      <c r="X34" s="182"/>
      <c r="Y34" s="188"/>
      <c r="Z34" s="131"/>
      <c r="AA34" s="131"/>
      <c r="AB34" s="131"/>
      <c r="AC34" s="174"/>
    </row>
    <row r="35" s="144" customFormat="1" spans="1:29">
      <c r="A35" s="79" t="s">
        <v>72</v>
      </c>
      <c r="B35" s="65"/>
      <c r="C35" s="65"/>
      <c r="D35" s="65"/>
      <c r="E35" s="65"/>
      <c r="F35" s="65"/>
      <c r="G35" s="66"/>
      <c r="H35" s="69">
        <v>8844</v>
      </c>
      <c r="I35" s="164">
        <v>6789</v>
      </c>
      <c r="J35" s="164">
        <v>5889</v>
      </c>
      <c r="K35" s="66"/>
      <c r="L35" s="66"/>
      <c r="M35" s="65"/>
      <c r="N35" s="65"/>
      <c r="O35" s="95"/>
      <c r="P35" s="69"/>
      <c r="Q35" s="69"/>
      <c r="R35" s="81"/>
      <c r="S35" s="66"/>
      <c r="T35" s="66"/>
      <c r="U35" s="174"/>
      <c r="V35" s="179"/>
      <c r="W35" s="174"/>
      <c r="X35" s="182"/>
      <c r="Y35" s="188"/>
      <c r="Z35" s="131"/>
      <c r="AA35" s="131"/>
      <c r="AB35" s="131"/>
      <c r="AC35" s="174"/>
    </row>
    <row r="36" s="144" customFormat="1" ht="15.6" spans="1:29">
      <c r="A36" s="79" t="s">
        <v>73</v>
      </c>
      <c r="B36" s="65">
        <f>B6+B33</f>
        <v>409391</v>
      </c>
      <c r="C36" s="65">
        <f>C6+C33</f>
        <v>440050</v>
      </c>
      <c r="D36" s="65">
        <f>D6+D33</f>
        <v>463172</v>
      </c>
      <c r="E36" s="65">
        <f>E6+E33</f>
        <v>85970</v>
      </c>
      <c r="F36" s="65">
        <f>D36-B36</f>
        <v>53781</v>
      </c>
      <c r="G36" s="66">
        <f>D36/C36-1</f>
        <v>0.0525440290876036</v>
      </c>
      <c r="H36" s="69">
        <v>13948</v>
      </c>
      <c r="I36" s="81">
        <v>39327</v>
      </c>
      <c r="J36" s="81">
        <v>39327</v>
      </c>
      <c r="K36" s="66">
        <f>J36/I36</f>
        <v>1</v>
      </c>
      <c r="L36" s="66">
        <f>((J36-H36)/H36)</f>
        <v>1.81954402064812</v>
      </c>
      <c r="M36" s="65">
        <v>10152</v>
      </c>
      <c r="N36" s="65">
        <v>7047</v>
      </c>
      <c r="O36" s="165" t="s">
        <v>74</v>
      </c>
      <c r="P36" s="81">
        <v>39329</v>
      </c>
      <c r="Q36" s="185">
        <v>55142.17</v>
      </c>
      <c r="R36" s="81">
        <f>J37-R7-R11</f>
        <v>62034</v>
      </c>
      <c r="S36" s="66">
        <f>R36/Q36</f>
        <v>1.12498293048678</v>
      </c>
      <c r="T36" s="66">
        <f>((R36-P36)/P36)</f>
        <v>0.577309364591014</v>
      </c>
      <c r="U36" s="174"/>
      <c r="V36" s="179"/>
      <c r="W36" s="174"/>
      <c r="X36" s="182"/>
      <c r="Y36" s="188"/>
      <c r="Z36" s="131"/>
      <c r="AA36" s="131"/>
      <c r="AB36" s="131"/>
      <c r="AC36" s="174"/>
    </row>
    <row r="37" s="144" customFormat="1" spans="1:29">
      <c r="A37" s="64" t="s">
        <v>75</v>
      </c>
      <c r="B37" s="65">
        <v>6</v>
      </c>
      <c r="C37" s="65">
        <v>195</v>
      </c>
      <c r="D37" s="65">
        <v>5</v>
      </c>
      <c r="E37" s="65">
        <v>5</v>
      </c>
      <c r="F37" s="65">
        <f>D37-B37</f>
        <v>-1</v>
      </c>
      <c r="G37" s="66">
        <f>D37/C37-1</f>
        <v>-0.974358974358974</v>
      </c>
      <c r="H37" s="69">
        <f>H6+H26+H27+H28+H33+H34+H35+H36+H30+H31</f>
        <v>189430</v>
      </c>
      <c r="I37" s="69">
        <f>I6+I26+I27+I28+I33+I34+I35+I36+I30+I31</f>
        <v>209488</v>
      </c>
      <c r="J37" s="69">
        <f>J6+J26+J27+J28+J33+J34+J35+J36+J30+J31</f>
        <v>211747</v>
      </c>
      <c r="K37" s="66">
        <f>J37/I37</f>
        <v>1.01078343389597</v>
      </c>
      <c r="L37" s="66">
        <f>((J37-H37)/H37)</f>
        <v>0.117811328723011</v>
      </c>
      <c r="M37" s="151">
        <v>5</v>
      </c>
      <c r="N37" s="151">
        <v>232</v>
      </c>
      <c r="O37" s="166" t="s">
        <v>76</v>
      </c>
      <c r="P37" s="69">
        <f>P6+P7+P11+P34+P36</f>
        <v>189430</v>
      </c>
      <c r="Q37" s="69">
        <f>Q6+Q7+Q11+Q34+Q36</f>
        <v>209488</v>
      </c>
      <c r="R37" s="69">
        <f>R6+R7+R11+R34+R36</f>
        <v>211747</v>
      </c>
      <c r="S37" s="66">
        <f>R37/Q37</f>
        <v>1.01078343389597</v>
      </c>
      <c r="T37" s="66">
        <f>((R37-P37)/P37)</f>
        <v>0.117811328723011</v>
      </c>
      <c r="U37" s="174"/>
      <c r="V37" s="179"/>
      <c r="W37" s="174"/>
      <c r="X37" s="182"/>
      <c r="Y37" s="174"/>
      <c r="Z37" s="174"/>
      <c r="AA37" s="174"/>
      <c r="AB37" s="174"/>
      <c r="AC37" s="174"/>
    </row>
    <row r="38" s="144" customFormat="1" hidden="1" spans="1:24">
      <c r="A38" s="38"/>
      <c r="B38" s="83"/>
      <c r="C38" s="83"/>
      <c r="D38" s="83"/>
      <c r="E38" s="83"/>
      <c r="F38" s="83"/>
      <c r="G38" s="84"/>
      <c r="H38" s="114"/>
      <c r="I38" s="114"/>
      <c r="J38" s="167"/>
      <c r="K38" s="168"/>
      <c r="L38" s="114"/>
      <c r="M38" s="65">
        <f>M6+M34+M36+M37</f>
        <v>96127</v>
      </c>
      <c r="N38" s="65">
        <f>N6+N34+N36+N37</f>
        <v>119101</v>
      </c>
      <c r="O38" s="38"/>
      <c r="P38" s="38"/>
      <c r="Q38" s="38"/>
      <c r="R38" s="52"/>
      <c r="S38" s="53"/>
      <c r="T38" s="186"/>
      <c r="U38" s="174"/>
      <c r="V38" s="179"/>
      <c r="W38" s="174"/>
      <c r="X38" s="178"/>
    </row>
    <row r="39" s="144" customFormat="1" hidden="1" spans="1:24">
      <c r="A39" s="38"/>
      <c r="B39" s="65"/>
      <c r="C39" s="65"/>
      <c r="D39" s="65"/>
      <c r="E39" s="65"/>
      <c r="F39" s="65"/>
      <c r="G39" s="66"/>
      <c r="H39" s="114"/>
      <c r="I39" s="114"/>
      <c r="J39" s="167">
        <v>8474</v>
      </c>
      <c r="K39" s="168"/>
      <c r="L39" s="114"/>
      <c r="M39" s="114"/>
      <c r="N39" s="38"/>
      <c r="O39" s="38"/>
      <c r="P39" s="38"/>
      <c r="Q39" s="38"/>
      <c r="R39" s="52"/>
      <c r="S39" s="53"/>
      <c r="T39" s="54"/>
      <c r="U39" s="174"/>
      <c r="V39" s="179"/>
      <c r="W39" s="174"/>
      <c r="X39" s="178"/>
    </row>
    <row r="40" s="144" customFormat="1" hidden="1" spans="1:24">
      <c r="A40" s="38"/>
      <c r="B40" s="50"/>
      <c r="C40" s="50"/>
      <c r="D40" s="50"/>
      <c r="E40" s="50"/>
      <c r="F40" s="50"/>
      <c r="G40" s="38"/>
      <c r="H40" s="38"/>
      <c r="I40" s="38"/>
      <c r="J40" s="52">
        <v>5178</v>
      </c>
      <c r="K40" s="86"/>
      <c r="L40" s="53"/>
      <c r="M40" s="114"/>
      <c r="N40" s="38"/>
      <c r="O40" s="38"/>
      <c r="P40" s="38"/>
      <c r="Q40" s="38"/>
      <c r="R40" s="52"/>
      <c r="S40" s="53"/>
      <c r="T40" s="54"/>
      <c r="U40" s="38"/>
      <c r="V40" s="38"/>
      <c r="X40" s="178"/>
    </row>
    <row r="41" hidden="1" spans="9:9">
      <c r="I41" s="38">
        <v>102063</v>
      </c>
    </row>
    <row r="42" hidden="1" spans="9:9">
      <c r="I42" s="38">
        <f>I41-J26-J27-J28</f>
        <v>44175</v>
      </c>
    </row>
    <row r="43" hidden="1"/>
    <row r="44" hidden="1"/>
  </sheetData>
  <mergeCells count="19">
    <mergeCell ref="A2:T2"/>
    <mergeCell ref="Q3:T3"/>
    <mergeCell ref="B4:C4"/>
    <mergeCell ref="D4:G4"/>
    <mergeCell ref="A4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V4:V5"/>
  </mergeCells>
  <pageMargins left="0.865972222222222" right="0.118055555555556" top="0.511805555555556" bottom="0.275" header="0.354166666666667" footer="0.432638888888889"/>
  <pageSetup paperSize="9" scale="91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opLeftCell="A11" workbookViewId="0">
      <selection activeCell="A1" sqref="$A1:$XFD1048576"/>
    </sheetView>
  </sheetViews>
  <sheetFormatPr defaultColWidth="9" defaultRowHeight="14.4"/>
  <cols>
    <col min="1" max="1" width="34.8796296296296" style="38" customWidth="1"/>
    <col min="2" max="4" width="11" style="38" customWidth="1"/>
    <col min="5" max="5" width="34.8796296296296" style="38" customWidth="1"/>
    <col min="6" max="6" width="12.5" style="38" customWidth="1"/>
    <col min="7" max="7" width="12" style="38" customWidth="1"/>
    <col min="8" max="8" width="13.1296296296296" style="38" customWidth="1"/>
    <col min="9" max="16384" width="9" style="38"/>
  </cols>
  <sheetData>
    <row r="1" s="38" customFormat="1" spans="1:1">
      <c r="A1" s="39" t="s">
        <v>77</v>
      </c>
    </row>
    <row r="2" s="38" customFormat="1" ht="22.2" spans="1:7">
      <c r="A2" s="40" t="s">
        <v>78</v>
      </c>
      <c r="B2" s="40"/>
      <c r="C2" s="40"/>
      <c r="D2" s="40"/>
      <c r="E2" s="40"/>
      <c r="F2" s="40"/>
      <c r="G2" s="40"/>
    </row>
    <row r="3" s="38" customFormat="1" spans="1:7">
      <c r="A3" s="41"/>
      <c r="B3" s="41"/>
      <c r="C3" s="41"/>
      <c r="D3" s="41"/>
      <c r="E3" s="41"/>
      <c r="F3" s="41"/>
      <c r="G3" s="41"/>
    </row>
    <row r="4" s="38" customFormat="1" spans="1:8">
      <c r="A4" s="49"/>
      <c r="B4" s="49"/>
      <c r="C4" s="49"/>
      <c r="D4" s="49"/>
      <c r="E4" s="49"/>
      <c r="F4" s="49"/>
      <c r="G4" s="49"/>
      <c r="H4" s="42" t="s">
        <v>2</v>
      </c>
    </row>
    <row r="5" s="38" customFormat="1" ht="28.8" spans="1:8">
      <c r="A5" s="44" t="s">
        <v>79</v>
      </c>
      <c r="B5" s="44" t="s">
        <v>80</v>
      </c>
      <c r="C5" s="44" t="s">
        <v>81</v>
      </c>
      <c r="D5" s="143" t="s">
        <v>9</v>
      </c>
      <c r="E5" s="44" t="s">
        <v>79</v>
      </c>
      <c r="F5" s="44" t="s">
        <v>82</v>
      </c>
      <c r="G5" s="44" t="s">
        <v>83</v>
      </c>
      <c r="H5" s="143" t="s">
        <v>9</v>
      </c>
    </row>
    <row r="6" s="38" customFormat="1" spans="1:8">
      <c r="A6" s="45" t="s">
        <v>84</v>
      </c>
      <c r="B6" s="46">
        <v>384</v>
      </c>
      <c r="C6" s="45">
        <v>618</v>
      </c>
      <c r="D6" s="143">
        <f>C6/B6</f>
        <v>1.609375</v>
      </c>
      <c r="E6" s="45" t="s">
        <v>85</v>
      </c>
      <c r="F6" s="45">
        <v>22408</v>
      </c>
      <c r="G6" s="45">
        <v>24318</v>
      </c>
      <c r="H6" s="143">
        <f>G6/F6</f>
        <v>1.08523741520885</v>
      </c>
    </row>
    <row r="7" s="38" customFormat="1" spans="1:8">
      <c r="A7" s="45" t="s">
        <v>86</v>
      </c>
      <c r="B7" s="46">
        <v>8815</v>
      </c>
      <c r="C7" s="45">
        <v>8827</v>
      </c>
      <c r="D7" s="143">
        <f>C7/B7</f>
        <v>1.00136131593874</v>
      </c>
      <c r="E7" s="45" t="s">
        <v>87</v>
      </c>
      <c r="F7" s="48"/>
      <c r="G7" s="45"/>
      <c r="H7" s="48"/>
    </row>
    <row r="8" s="38" customFormat="1" spans="1:8">
      <c r="A8" s="45" t="s">
        <v>88</v>
      </c>
      <c r="B8" s="45"/>
      <c r="C8" s="45"/>
      <c r="D8" s="45"/>
      <c r="E8" s="45" t="s">
        <v>89</v>
      </c>
      <c r="F8" s="48"/>
      <c r="G8" s="45"/>
      <c r="H8" s="48"/>
    </row>
    <row r="9" s="38" customFormat="1" spans="1:8">
      <c r="A9" s="45" t="s">
        <v>90</v>
      </c>
      <c r="B9" s="45"/>
      <c r="C9" s="45"/>
      <c r="D9" s="45"/>
      <c r="E9" s="45" t="s">
        <v>90</v>
      </c>
      <c r="F9" s="48"/>
      <c r="G9" s="45"/>
      <c r="H9" s="48"/>
    </row>
    <row r="10" s="38" customFormat="1" spans="1:8">
      <c r="A10" s="45" t="s">
        <v>91</v>
      </c>
      <c r="B10" s="45"/>
      <c r="C10" s="45"/>
      <c r="D10" s="45"/>
      <c r="E10" s="45" t="s">
        <v>91</v>
      </c>
      <c r="F10" s="48"/>
      <c r="G10" s="45"/>
      <c r="H10" s="48"/>
    </row>
    <row r="11" s="38" customFormat="1" spans="1:8">
      <c r="A11" s="45" t="s">
        <v>92</v>
      </c>
      <c r="B11" s="45"/>
      <c r="C11" s="45"/>
      <c r="D11" s="45"/>
      <c r="E11" s="45" t="s">
        <v>92</v>
      </c>
      <c r="F11" s="48"/>
      <c r="G11" s="45"/>
      <c r="H11" s="48"/>
    </row>
    <row r="12" s="38" customFormat="1" spans="1:8">
      <c r="A12" s="45" t="s">
        <v>93</v>
      </c>
      <c r="B12" s="45"/>
      <c r="C12" s="45"/>
      <c r="D12" s="45"/>
      <c r="E12" s="45" t="s">
        <v>93</v>
      </c>
      <c r="F12" s="48"/>
      <c r="G12" s="45"/>
      <c r="H12" s="48"/>
    </row>
    <row r="13" s="38" customFormat="1" spans="1:8">
      <c r="A13" s="45" t="s">
        <v>94</v>
      </c>
      <c r="B13" s="45"/>
      <c r="C13" s="45"/>
      <c r="D13" s="45"/>
      <c r="E13" s="45" t="s">
        <v>94</v>
      </c>
      <c r="F13" s="48"/>
      <c r="G13" s="45"/>
      <c r="H13" s="48"/>
    </row>
    <row r="14" s="38" customFormat="1" spans="1:8">
      <c r="A14" s="45" t="s">
        <v>95</v>
      </c>
      <c r="B14" s="45"/>
      <c r="C14" s="45"/>
      <c r="D14" s="45"/>
      <c r="E14" s="45" t="s">
        <v>95</v>
      </c>
      <c r="F14" s="48"/>
      <c r="G14" s="45"/>
      <c r="H14" s="48"/>
    </row>
    <row r="15" s="38" customFormat="1" spans="1:8">
      <c r="A15" s="45" t="s">
        <v>96</v>
      </c>
      <c r="B15" s="45"/>
      <c r="C15" s="45"/>
      <c r="D15" s="45"/>
      <c r="E15" s="45" t="s">
        <v>96</v>
      </c>
      <c r="F15" s="48"/>
      <c r="G15" s="45"/>
      <c r="H15" s="48"/>
    </row>
    <row r="16" s="38" customFormat="1" spans="1:8">
      <c r="A16" s="45" t="s">
        <v>97</v>
      </c>
      <c r="B16" s="45"/>
      <c r="C16" s="45"/>
      <c r="D16" s="45"/>
      <c r="E16" s="45" t="s">
        <v>97</v>
      </c>
      <c r="F16" s="48"/>
      <c r="G16" s="45"/>
      <c r="H16" s="48"/>
    </row>
    <row r="17" s="38" customFormat="1" spans="1:8">
      <c r="A17" s="45" t="s">
        <v>98</v>
      </c>
      <c r="B17" s="45"/>
      <c r="C17" s="45"/>
      <c r="D17" s="45"/>
      <c r="E17" s="45" t="s">
        <v>99</v>
      </c>
      <c r="F17" s="48"/>
      <c r="G17" s="45"/>
      <c r="H17" s="48"/>
    </row>
    <row r="18" s="38" customFormat="1" spans="1:8">
      <c r="A18" s="45" t="s">
        <v>100</v>
      </c>
      <c r="B18" s="45"/>
      <c r="C18" s="45"/>
      <c r="D18" s="45"/>
      <c r="E18" s="45" t="s">
        <v>101</v>
      </c>
      <c r="F18" s="48"/>
      <c r="G18" s="45"/>
      <c r="H18" s="48"/>
    </row>
    <row r="19" s="38" customFormat="1" spans="1:8">
      <c r="A19" s="45" t="s">
        <v>102</v>
      </c>
      <c r="B19" s="45"/>
      <c r="C19" s="45"/>
      <c r="D19" s="45"/>
      <c r="E19" s="45"/>
      <c r="F19" s="48"/>
      <c r="G19" s="45"/>
      <c r="H19" s="48"/>
    </row>
    <row r="20" s="38" customFormat="1" spans="1:8">
      <c r="A20" s="45" t="s">
        <v>103</v>
      </c>
      <c r="B20" s="45"/>
      <c r="C20" s="45"/>
      <c r="D20" s="45"/>
      <c r="E20" s="45"/>
      <c r="F20" s="48"/>
      <c r="G20" s="45"/>
      <c r="H20" s="48"/>
    </row>
    <row r="21" s="38" customFormat="1" spans="1:8">
      <c r="A21" s="45" t="s">
        <v>104</v>
      </c>
      <c r="B21" s="45"/>
      <c r="C21" s="45"/>
      <c r="D21" s="45"/>
      <c r="E21" s="45" t="s">
        <v>105</v>
      </c>
      <c r="F21" s="45">
        <v>4500</v>
      </c>
      <c r="G21" s="45"/>
      <c r="H21" s="143">
        <f>G21/F21</f>
        <v>0</v>
      </c>
    </row>
    <row r="22" s="38" customFormat="1" spans="1:8">
      <c r="A22" s="45" t="s">
        <v>106</v>
      </c>
      <c r="B22" s="45"/>
      <c r="C22" s="45"/>
      <c r="D22" s="45"/>
      <c r="E22" s="45"/>
      <c r="F22" s="45"/>
      <c r="G22" s="45"/>
      <c r="H22" s="48"/>
    </row>
    <row r="23" s="38" customFormat="1" spans="1:8">
      <c r="A23" s="45" t="s">
        <v>107</v>
      </c>
      <c r="B23" s="45"/>
      <c r="C23" s="45"/>
      <c r="D23" s="45"/>
      <c r="E23" s="45"/>
      <c r="F23" s="45"/>
      <c r="G23" s="45"/>
      <c r="H23" s="48"/>
    </row>
    <row r="24" s="38" customFormat="1" spans="1:8">
      <c r="A24" s="45" t="s">
        <v>108</v>
      </c>
      <c r="B24" s="45"/>
      <c r="C24" s="45"/>
      <c r="D24" s="45"/>
      <c r="E24" s="45" t="s">
        <v>109</v>
      </c>
      <c r="F24" s="45"/>
      <c r="G24" s="45"/>
      <c r="H24" s="48"/>
    </row>
    <row r="25" s="38" customFormat="1" spans="1:8">
      <c r="A25" s="45" t="s">
        <v>110</v>
      </c>
      <c r="B25" s="45"/>
      <c r="C25" s="45"/>
      <c r="D25" s="45"/>
      <c r="E25" s="45" t="s">
        <v>111</v>
      </c>
      <c r="F25" s="45"/>
      <c r="G25" s="45"/>
      <c r="H25" s="48"/>
    </row>
    <row r="26" s="38" customFormat="1" spans="1:8">
      <c r="A26" s="45" t="s">
        <v>112</v>
      </c>
      <c r="B26" s="45"/>
      <c r="C26" s="45"/>
      <c r="D26" s="45"/>
      <c r="E26" s="45" t="s">
        <v>113</v>
      </c>
      <c r="F26" s="45"/>
      <c r="G26" s="45"/>
      <c r="H26" s="48"/>
    </row>
    <row r="27" s="38" customFormat="1" spans="1:8">
      <c r="A27" s="45" t="s">
        <v>114</v>
      </c>
      <c r="B27" s="45"/>
      <c r="C27" s="45"/>
      <c r="D27" s="45"/>
      <c r="E27" s="45" t="s">
        <v>115</v>
      </c>
      <c r="F27" s="45"/>
      <c r="G27" s="45"/>
      <c r="H27" s="48"/>
    </row>
    <row r="28" s="38" customFormat="1" spans="1:8">
      <c r="A28" s="45" t="s">
        <v>116</v>
      </c>
      <c r="B28" s="46">
        <v>18500</v>
      </c>
      <c r="C28" s="45">
        <v>14000</v>
      </c>
      <c r="D28" s="143">
        <f t="shared" ref="D28:D33" si="0">C28/B28</f>
        <v>0.756756756756757</v>
      </c>
      <c r="E28" s="45"/>
      <c r="F28" s="45"/>
      <c r="G28" s="45"/>
      <c r="H28" s="48"/>
    </row>
    <row r="29" s="38" customFormat="1" spans="1:8">
      <c r="A29" s="45" t="s">
        <v>117</v>
      </c>
      <c r="B29" s="45"/>
      <c r="C29" s="45"/>
      <c r="D29" s="45"/>
      <c r="E29" s="45" t="s">
        <v>118</v>
      </c>
      <c r="F29" s="45"/>
      <c r="G29" s="45"/>
      <c r="H29" s="48"/>
    </row>
    <row r="30" s="38" customFormat="1" spans="1:8">
      <c r="A30" s="45" t="s">
        <v>119</v>
      </c>
      <c r="B30" s="45"/>
      <c r="C30" s="45"/>
      <c r="D30" s="45"/>
      <c r="E30" s="45" t="s">
        <v>120</v>
      </c>
      <c r="F30" s="45"/>
      <c r="G30" s="45"/>
      <c r="H30" s="48"/>
    </row>
    <row r="31" s="38" customFormat="1" spans="1:8">
      <c r="A31" s="45" t="s">
        <v>121</v>
      </c>
      <c r="B31" s="45">
        <v>11045</v>
      </c>
      <c r="C31" s="45">
        <v>11200</v>
      </c>
      <c r="D31" s="143">
        <f t="shared" si="0"/>
        <v>1.01403349932096</v>
      </c>
      <c r="E31" s="45" t="s">
        <v>122</v>
      </c>
      <c r="F31" s="45"/>
      <c r="G31" s="45"/>
      <c r="H31" s="48"/>
    </row>
    <row r="32" s="38" customFormat="1" spans="1:8">
      <c r="A32" s="45"/>
      <c r="B32" s="45"/>
      <c r="C32" s="45"/>
      <c r="D32" s="45"/>
      <c r="E32" s="45" t="s">
        <v>123</v>
      </c>
      <c r="F32" s="45">
        <v>11836</v>
      </c>
      <c r="G32" s="45">
        <f>C6+C31+C28-G6+C7</f>
        <v>10327</v>
      </c>
      <c r="H32" s="143">
        <f>G32/F32</f>
        <v>0.872507603920243</v>
      </c>
    </row>
    <row r="33" s="38" customFormat="1" spans="1:12">
      <c r="A33" s="43" t="s">
        <v>124</v>
      </c>
      <c r="B33" s="46">
        <f>B6+B7+B28+B31</f>
        <v>38744</v>
      </c>
      <c r="C33" s="46">
        <f>C6+C7+C28+C31</f>
        <v>34645</v>
      </c>
      <c r="D33" s="143">
        <f t="shared" si="0"/>
        <v>0.894202973363618</v>
      </c>
      <c r="E33" s="43" t="s">
        <v>125</v>
      </c>
      <c r="F33" s="46">
        <f>F6+F21+F32</f>
        <v>38744</v>
      </c>
      <c r="G33" s="46">
        <f>G6+G21+G32</f>
        <v>34645</v>
      </c>
      <c r="H33" s="143">
        <f>G33/F33</f>
        <v>0.894202973363618</v>
      </c>
      <c r="L33" s="38" t="s">
        <v>126</v>
      </c>
    </row>
    <row r="59" s="38" customFormat="1" spans="12:12">
      <c r="L59" s="38">
        <f>++++++M32</f>
        <v>0</v>
      </c>
    </row>
  </sheetData>
  <mergeCells count="3">
    <mergeCell ref="A2:G2"/>
    <mergeCell ref="A3:G3"/>
    <mergeCell ref="A4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4.4" outlineLevelCol="7"/>
  <cols>
    <col min="1" max="1" width="32.8796296296296" style="38" customWidth="1"/>
    <col min="2" max="4" width="11.3796296296296" style="38" customWidth="1"/>
    <col min="5" max="5" width="32.8796296296296" style="38" customWidth="1"/>
    <col min="6" max="8" width="11.5" style="38" customWidth="1"/>
    <col min="9" max="16384" width="9" style="38"/>
  </cols>
  <sheetData>
    <row r="1" s="38" customFormat="1" ht="27" customHeight="1" spans="1:1">
      <c r="A1" s="39" t="s">
        <v>127</v>
      </c>
    </row>
    <row r="2" s="38" customFormat="1" ht="27" customHeight="1" spans="1:8">
      <c r="A2" s="40" t="s">
        <v>128</v>
      </c>
      <c r="B2" s="40"/>
      <c r="C2" s="40"/>
      <c r="D2" s="40"/>
      <c r="E2" s="40"/>
      <c r="F2" s="40"/>
      <c r="G2" s="40"/>
      <c r="H2" s="40"/>
    </row>
    <row r="3" s="38" customFormat="1" ht="27" customHeight="1" spans="1:8">
      <c r="A3" s="142" t="s">
        <v>2</v>
      </c>
      <c r="B3" s="142"/>
      <c r="C3" s="142"/>
      <c r="D3" s="142"/>
      <c r="E3" s="142"/>
      <c r="F3" s="142"/>
      <c r="G3" s="142"/>
      <c r="H3" s="142"/>
    </row>
    <row r="4" s="38" customFormat="1" ht="27" customHeight="1" spans="1:8">
      <c r="A4" s="43" t="s">
        <v>79</v>
      </c>
      <c r="B4" s="44" t="s">
        <v>80</v>
      </c>
      <c r="C4" s="44" t="s">
        <v>81</v>
      </c>
      <c r="D4" s="137" t="s">
        <v>9</v>
      </c>
      <c r="E4" s="43" t="s">
        <v>79</v>
      </c>
      <c r="F4" s="44" t="s">
        <v>82</v>
      </c>
      <c r="G4" s="44" t="s">
        <v>83</v>
      </c>
      <c r="H4" s="137" t="s">
        <v>9</v>
      </c>
    </row>
    <row r="5" s="38" customFormat="1" ht="27" customHeight="1" spans="1:8">
      <c r="A5" s="45" t="s">
        <v>129</v>
      </c>
      <c r="B5" s="45"/>
      <c r="C5" s="45"/>
      <c r="D5" s="137"/>
      <c r="E5" s="45" t="s">
        <v>130</v>
      </c>
      <c r="F5" s="45">
        <v>199</v>
      </c>
      <c r="G5" s="45">
        <v>249</v>
      </c>
      <c r="H5" s="47">
        <f>G5/F5</f>
        <v>1.25125628140704</v>
      </c>
    </row>
    <row r="6" s="38" customFormat="1" ht="27" customHeight="1" spans="1:8">
      <c r="A6" s="45" t="s">
        <v>131</v>
      </c>
      <c r="B6" s="45">
        <v>197</v>
      </c>
      <c r="C6" s="45">
        <v>197</v>
      </c>
      <c r="D6" s="47">
        <f>C6/B6</f>
        <v>1</v>
      </c>
      <c r="E6" s="45" t="s">
        <v>132</v>
      </c>
      <c r="F6" s="46"/>
      <c r="G6" s="45"/>
      <c r="H6" s="46"/>
    </row>
    <row r="7" s="38" customFormat="1" ht="27" customHeight="1" spans="1:8">
      <c r="A7" s="45" t="s">
        <v>133</v>
      </c>
      <c r="B7" s="46"/>
      <c r="C7" s="45"/>
      <c r="D7" s="46"/>
      <c r="E7" s="45" t="s">
        <v>134</v>
      </c>
      <c r="F7" s="46"/>
      <c r="G7" s="45"/>
      <c r="H7" s="46"/>
    </row>
    <row r="8" s="38" customFormat="1" ht="27" customHeight="1" spans="1:8">
      <c r="A8" s="45" t="s">
        <v>135</v>
      </c>
      <c r="B8" s="45">
        <v>308</v>
      </c>
      <c r="C8" s="45">
        <v>308</v>
      </c>
      <c r="D8" s="47">
        <f>C8/B8</f>
        <v>1</v>
      </c>
      <c r="E8" s="45" t="s">
        <v>136</v>
      </c>
      <c r="F8" s="46"/>
      <c r="G8" s="45"/>
      <c r="H8" s="46"/>
    </row>
    <row r="9" s="38" customFormat="1" ht="27" customHeight="1" spans="1:8">
      <c r="A9" s="45" t="s">
        <v>137</v>
      </c>
      <c r="B9" s="46"/>
      <c r="C9" s="45"/>
      <c r="D9" s="46"/>
      <c r="E9" s="45" t="s">
        <v>138</v>
      </c>
      <c r="F9" s="46"/>
      <c r="G9" s="45"/>
      <c r="H9" s="46"/>
    </row>
    <row r="10" s="38" customFormat="1" ht="27" customHeight="1" spans="1:8">
      <c r="A10" s="45" t="s">
        <v>139</v>
      </c>
      <c r="B10" s="46"/>
      <c r="C10" s="45"/>
      <c r="D10" s="46"/>
      <c r="E10" s="45" t="s">
        <v>140</v>
      </c>
      <c r="F10" s="46"/>
      <c r="G10" s="45"/>
      <c r="H10" s="46"/>
    </row>
    <row r="11" s="38" customFormat="1" ht="27" customHeight="1" spans="1:8">
      <c r="A11" s="45"/>
      <c r="B11" s="46"/>
      <c r="C11" s="45"/>
      <c r="D11" s="46"/>
      <c r="E11" s="45" t="s">
        <v>141</v>
      </c>
      <c r="F11" s="46">
        <f>B12-SUM(F5:F10)</f>
        <v>306</v>
      </c>
      <c r="G11" s="46">
        <f>C12-SUM(G5:G10)</f>
        <v>256</v>
      </c>
      <c r="H11" s="47">
        <f>G11/F11</f>
        <v>0.836601307189543</v>
      </c>
    </row>
    <row r="12" s="38" customFormat="1" ht="27" customHeight="1" spans="1:8">
      <c r="A12" s="43" t="s">
        <v>142</v>
      </c>
      <c r="B12" s="46">
        <f>B11+B5+B6+B7+B8+B9+B10</f>
        <v>505</v>
      </c>
      <c r="C12" s="46">
        <f>C11+C5+C6+C7+C8+C9+C10</f>
        <v>505</v>
      </c>
      <c r="D12" s="47">
        <f>C12/B12</f>
        <v>1</v>
      </c>
      <c r="E12" s="43" t="s">
        <v>143</v>
      </c>
      <c r="F12" s="46">
        <f>SUM(F5:F11)</f>
        <v>505</v>
      </c>
      <c r="G12" s="46">
        <f>SUM(G5:G11)</f>
        <v>505</v>
      </c>
      <c r="H12" s="47">
        <f>G12/F12</f>
        <v>1</v>
      </c>
    </row>
  </sheetData>
  <mergeCells count="2">
    <mergeCell ref="A2:H2"/>
    <mergeCell ref="A3:H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$A1:$XFD1048576"/>
    </sheetView>
  </sheetViews>
  <sheetFormatPr defaultColWidth="9" defaultRowHeight="14.4"/>
  <cols>
    <col min="1" max="1" width="39.6296296296296" style="38" customWidth="1"/>
    <col min="2" max="4" width="14.1296296296296" style="38" customWidth="1"/>
    <col min="5" max="5" width="19.5" style="38" customWidth="1"/>
    <col min="6" max="6" width="14" style="38" customWidth="1"/>
    <col min="7" max="8" width="12.25" style="38" customWidth="1"/>
    <col min="9" max="10" width="12.6296296296296" style="38"/>
    <col min="11" max="16384" width="9" style="38"/>
  </cols>
  <sheetData>
    <row r="1" s="38" customFormat="1" spans="1:1">
      <c r="A1" s="39" t="s">
        <v>144</v>
      </c>
    </row>
    <row r="2" s="38" customFormat="1" ht="25.8" spans="1:8">
      <c r="A2" s="132" t="s">
        <v>145</v>
      </c>
      <c r="B2" s="133"/>
      <c r="C2" s="134"/>
      <c r="D2" s="133"/>
      <c r="E2" s="133"/>
      <c r="F2" s="133"/>
      <c r="G2" s="133"/>
      <c r="H2" s="133"/>
    </row>
    <row r="3" s="38" customFormat="1" ht="15.6" spans="1:8">
      <c r="A3" s="135"/>
      <c r="B3" s="135"/>
      <c r="C3" s="136"/>
      <c r="D3" s="135"/>
      <c r="E3" s="135"/>
      <c r="F3" s="135"/>
      <c r="G3" s="135"/>
      <c r="H3" s="10" t="s">
        <v>2</v>
      </c>
    </row>
    <row r="4" s="38" customFormat="1" ht="28.8" spans="1:8">
      <c r="A4" s="43" t="s">
        <v>79</v>
      </c>
      <c r="B4" s="44" t="s">
        <v>80</v>
      </c>
      <c r="C4" s="44" t="s">
        <v>81</v>
      </c>
      <c r="D4" s="137" t="s">
        <v>9</v>
      </c>
      <c r="E4" s="44" t="s">
        <v>79</v>
      </c>
      <c r="F4" s="44" t="s">
        <v>82</v>
      </c>
      <c r="G4" s="44" t="s">
        <v>83</v>
      </c>
      <c r="H4" s="137" t="s">
        <v>9</v>
      </c>
    </row>
    <row r="5" s="38" customFormat="1" ht="33" customHeight="1" spans="1:8">
      <c r="A5" s="138" t="s">
        <v>146</v>
      </c>
      <c r="B5" s="138">
        <f t="shared" ref="B5:G5" si="0">B6+B7</f>
        <v>16262.6666666667</v>
      </c>
      <c r="C5" s="138">
        <f t="shared" si="0"/>
        <v>19360</v>
      </c>
      <c r="D5" s="139">
        <f t="shared" ref="D5:D10" si="1">C5/B5</f>
        <v>1.19045666967287</v>
      </c>
      <c r="E5" s="138" t="s">
        <v>147</v>
      </c>
      <c r="F5" s="138">
        <v>17532</v>
      </c>
      <c r="G5" s="138">
        <f t="shared" si="0"/>
        <v>17541</v>
      </c>
      <c r="H5" s="139">
        <f t="shared" ref="H5:H10" si="2">G5/F5</f>
        <v>1.00051334702259</v>
      </c>
    </row>
    <row r="6" s="38" customFormat="1" ht="36" spans="1:8">
      <c r="A6" s="140" t="s">
        <v>148</v>
      </c>
      <c r="B6" s="141">
        <v>2420</v>
      </c>
      <c r="C6" s="141">
        <v>4521</v>
      </c>
      <c r="D6" s="139">
        <f t="shared" si="1"/>
        <v>1.86818181818182</v>
      </c>
      <c r="E6" s="140" t="s">
        <v>149</v>
      </c>
      <c r="F6" s="141">
        <v>2633.33333333333</v>
      </c>
      <c r="G6" s="141">
        <v>2702</v>
      </c>
      <c r="H6" s="139">
        <f t="shared" si="2"/>
        <v>1.02607594936709</v>
      </c>
    </row>
    <row r="7" s="38" customFormat="1" ht="24" spans="1:10">
      <c r="A7" s="140" t="s">
        <v>150</v>
      </c>
      <c r="B7" s="141">
        <v>13842.6666666667</v>
      </c>
      <c r="C7" s="141">
        <v>14839</v>
      </c>
      <c r="D7" s="139">
        <f t="shared" si="1"/>
        <v>1.07197553457908</v>
      </c>
      <c r="E7" s="140" t="s">
        <v>151</v>
      </c>
      <c r="F7" s="141">
        <v>14898.6666666667</v>
      </c>
      <c r="G7" s="141">
        <v>14839</v>
      </c>
      <c r="H7" s="139">
        <f t="shared" si="2"/>
        <v>0.995995167352781</v>
      </c>
      <c r="I7" s="52"/>
      <c r="J7" s="52"/>
    </row>
    <row r="8" s="38" customFormat="1" spans="1:10">
      <c r="A8" s="138" t="s">
        <v>152</v>
      </c>
      <c r="B8" s="138">
        <v>9038.934708</v>
      </c>
      <c r="C8" s="138">
        <f>C9+C10</f>
        <v>7056</v>
      </c>
      <c r="D8" s="139">
        <f t="shared" si="1"/>
        <v>0.780622963650243</v>
      </c>
      <c r="E8" s="138" t="s">
        <v>153</v>
      </c>
      <c r="F8" s="138">
        <v>7769.60137466667</v>
      </c>
      <c r="G8" s="138">
        <f>G9+G10</f>
        <v>8875</v>
      </c>
      <c r="H8" s="139">
        <f t="shared" si="2"/>
        <v>1.14227224435703</v>
      </c>
      <c r="I8" s="52"/>
      <c r="J8" s="52"/>
    </row>
    <row r="9" s="38" customFormat="1" ht="48" spans="1:10">
      <c r="A9" s="140" t="s">
        <v>154</v>
      </c>
      <c r="B9" s="141">
        <v>6285</v>
      </c>
      <c r="C9" s="141">
        <v>5777</v>
      </c>
      <c r="D9" s="139">
        <f t="shared" si="1"/>
        <v>0.919172633253779</v>
      </c>
      <c r="E9" s="140" t="s">
        <v>154</v>
      </c>
      <c r="F9" s="141">
        <v>6071.66666666667</v>
      </c>
      <c r="G9" s="141">
        <f>C6+C9-G6</f>
        <v>7596</v>
      </c>
      <c r="H9" s="139">
        <f t="shared" si="2"/>
        <v>1.25105682130112</v>
      </c>
      <c r="I9" s="52"/>
      <c r="J9" s="52"/>
    </row>
    <row r="10" s="38" customFormat="1" ht="36" spans="1:10">
      <c r="A10" s="140" t="s">
        <v>155</v>
      </c>
      <c r="B10" s="141">
        <v>2753.934708</v>
      </c>
      <c r="C10" s="141">
        <v>1279</v>
      </c>
      <c r="D10" s="139">
        <f t="shared" si="1"/>
        <v>0.46442640643752</v>
      </c>
      <c r="E10" s="140" t="s">
        <v>155</v>
      </c>
      <c r="F10" s="141">
        <v>1697.934708</v>
      </c>
      <c r="G10" s="141">
        <f>C7+C10-G7</f>
        <v>1279</v>
      </c>
      <c r="H10" s="139">
        <f t="shared" si="2"/>
        <v>0.753268069716612</v>
      </c>
      <c r="I10" s="52"/>
      <c r="J10" s="52"/>
    </row>
    <row r="11" s="38" customFormat="1" spans="1:10">
      <c r="A11" s="141"/>
      <c r="B11" s="141"/>
      <c r="C11" s="141"/>
      <c r="D11" s="139"/>
      <c r="E11" s="141"/>
      <c r="F11" s="141"/>
      <c r="G11" s="141"/>
      <c r="H11" s="139"/>
      <c r="I11" s="52"/>
      <c r="J11" s="52"/>
    </row>
    <row r="12" s="38" customFormat="1" spans="1:10">
      <c r="A12" s="141"/>
      <c r="B12" s="141"/>
      <c r="C12" s="141"/>
      <c r="D12" s="139"/>
      <c r="E12" s="141"/>
      <c r="F12" s="141"/>
      <c r="G12" s="141"/>
      <c r="H12" s="139"/>
      <c r="I12" s="52"/>
      <c r="J12" s="52"/>
    </row>
    <row r="13" s="38" customFormat="1" ht="28" customHeight="1" spans="1:10">
      <c r="A13" s="138" t="s">
        <v>142</v>
      </c>
      <c r="B13" s="138">
        <v>25301.6013746667</v>
      </c>
      <c r="C13" s="138">
        <f>C5+C8</f>
        <v>26416</v>
      </c>
      <c r="D13" s="139">
        <f>C13/B13</f>
        <v>1.04404458867371</v>
      </c>
      <c r="E13" s="138" t="s">
        <v>143</v>
      </c>
      <c r="F13" s="138">
        <v>25301.6013746667</v>
      </c>
      <c r="G13" s="138">
        <f>G5+G8</f>
        <v>26416</v>
      </c>
      <c r="H13" s="139">
        <f>G13/F13</f>
        <v>1.04404458867371</v>
      </c>
      <c r="I13" s="52"/>
      <c r="J13" s="52"/>
    </row>
    <row r="14" s="38" customFormat="1" spans="2:2">
      <c r="B14" s="52"/>
    </row>
  </sheetData>
  <mergeCells count="1">
    <mergeCell ref="A2:H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9"/>
  <sheetViews>
    <sheetView workbookViewId="0">
      <selection activeCell="A1" sqref="$A1:$XFD1048576"/>
    </sheetView>
  </sheetViews>
  <sheetFormatPr defaultColWidth="9" defaultRowHeight="14.4"/>
  <cols>
    <col min="1" max="1" width="30.25" style="38" customWidth="1"/>
    <col min="2" max="6" width="16.3796296296296" style="50" hidden="1" customWidth="1"/>
    <col min="7" max="7" width="16.3796296296296" style="38" hidden="1" customWidth="1"/>
    <col min="8" max="8" width="11.6296296296296" style="51" customWidth="1"/>
    <col min="9" max="9" width="1.12962962962963" style="38" hidden="1" customWidth="1"/>
    <col min="10" max="10" width="11.6296296296296" style="52" customWidth="1"/>
    <col min="11" max="11" width="9.62962962962963" style="53" customWidth="1"/>
    <col min="12" max="12" width="28.8796296296296" style="38" customWidth="1"/>
    <col min="13" max="13" width="10.25" style="38" customWidth="1"/>
    <col min="14" max="14" width="9.5" style="38" hidden="1" customWidth="1"/>
    <col min="15" max="15" width="10.25" style="38" customWidth="1"/>
    <col min="16" max="17" width="9.37962962962963" style="38" customWidth="1"/>
    <col min="18" max="18" width="11.3796296296296" style="38" customWidth="1"/>
    <col min="19" max="19" width="8.5" style="38" customWidth="1"/>
    <col min="20" max="20" width="11.25" style="54" customWidth="1"/>
    <col min="21" max="21" width="12.6296296296296" style="55" hidden="1" customWidth="1"/>
    <col min="22" max="22" width="9.25" style="50" hidden="1" customWidth="1"/>
    <col min="23" max="23" width="12.6296296296296" style="38" hidden="1" customWidth="1"/>
    <col min="24" max="25" width="9" style="38" hidden="1" customWidth="1"/>
    <col min="26" max="26" width="26.3796296296296" style="38" hidden="1" customWidth="1"/>
    <col min="27" max="27" width="16" style="38" customWidth="1"/>
    <col min="28" max="28" width="14.5" style="38" customWidth="1"/>
    <col min="29" max="29" width="9.37962962962963" style="38"/>
    <col min="30" max="16384" width="9" style="38"/>
  </cols>
  <sheetData>
    <row r="1" s="38" customFormat="1" spans="1:22">
      <c r="A1" s="39" t="s">
        <v>156</v>
      </c>
      <c r="B1" s="50"/>
      <c r="C1" s="50"/>
      <c r="D1" s="50"/>
      <c r="E1" s="50"/>
      <c r="F1" s="50"/>
      <c r="G1" s="38"/>
      <c r="H1" s="51"/>
      <c r="I1" s="38"/>
      <c r="J1" s="52"/>
      <c r="K1" s="53"/>
      <c r="L1" s="38"/>
      <c r="M1" s="38"/>
      <c r="N1" s="38"/>
      <c r="O1" s="38"/>
      <c r="P1" s="38"/>
      <c r="Q1" s="38"/>
      <c r="R1" s="38"/>
      <c r="S1" s="38"/>
      <c r="T1" s="54"/>
      <c r="U1" s="55"/>
      <c r="V1" s="50"/>
    </row>
    <row r="2" s="38" customFormat="1" ht="24" spans="1:32">
      <c r="A2" s="56" t="s">
        <v>157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5"/>
      <c r="V2" s="116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="38" customFormat="1" spans="2:32">
      <c r="B3" s="50"/>
      <c r="C3" s="50"/>
      <c r="D3" s="50"/>
      <c r="E3" s="50"/>
      <c r="F3" s="50"/>
      <c r="G3" s="38"/>
      <c r="H3" s="51"/>
      <c r="I3" s="38"/>
      <c r="J3" s="52"/>
      <c r="K3" s="53"/>
      <c r="L3" s="38"/>
      <c r="M3" s="38"/>
      <c r="N3" s="38"/>
      <c r="O3" s="87" t="s">
        <v>2</v>
      </c>
      <c r="P3" s="87"/>
      <c r="Q3" s="87"/>
      <c r="R3" s="87"/>
      <c r="S3" s="87"/>
      <c r="T3" s="87"/>
      <c r="U3" s="55"/>
      <c r="V3" s="116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="38" customFormat="1" ht="14.25" customHeight="1" spans="1:32">
      <c r="A4" s="57" t="s">
        <v>3</v>
      </c>
      <c r="B4" s="58" t="s">
        <v>4</v>
      </c>
      <c r="C4" s="58"/>
      <c r="D4" s="59" t="s">
        <v>5</v>
      </c>
      <c r="E4" s="59"/>
      <c r="F4" s="59"/>
      <c r="G4" s="60"/>
      <c r="H4" s="61" t="s">
        <v>158</v>
      </c>
      <c r="I4" s="61" t="s">
        <v>11</v>
      </c>
      <c r="J4" s="88" t="s">
        <v>159</v>
      </c>
      <c r="K4" s="61" t="s">
        <v>10</v>
      </c>
      <c r="L4" s="57" t="s">
        <v>3</v>
      </c>
      <c r="M4" s="61" t="s">
        <v>160</v>
      </c>
      <c r="N4" s="61" t="s">
        <v>161</v>
      </c>
      <c r="O4" s="61" t="s">
        <v>162</v>
      </c>
      <c r="P4" s="61"/>
      <c r="Q4" s="61"/>
      <c r="R4" s="61"/>
      <c r="S4" s="61"/>
      <c r="T4" s="118" t="s">
        <v>10</v>
      </c>
      <c r="U4" s="55"/>
      <c r="V4" s="116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="38" customFormat="1" ht="30" customHeight="1" spans="1:32">
      <c r="A5" s="57"/>
      <c r="B5" s="58" t="s">
        <v>13</v>
      </c>
      <c r="C5" s="58" t="s">
        <v>14</v>
      </c>
      <c r="D5" s="58" t="s">
        <v>15</v>
      </c>
      <c r="E5" s="58" t="s">
        <v>16</v>
      </c>
      <c r="F5" s="58" t="s">
        <v>163</v>
      </c>
      <c r="G5" s="62" t="s">
        <v>18</v>
      </c>
      <c r="H5" s="63"/>
      <c r="I5" s="63"/>
      <c r="J5" s="89"/>
      <c r="K5" s="63"/>
      <c r="L5" s="57"/>
      <c r="M5" s="63"/>
      <c r="N5" s="63"/>
      <c r="O5" s="63"/>
      <c r="P5" s="63" t="s">
        <v>164</v>
      </c>
      <c r="Q5" s="63" t="s">
        <v>165</v>
      </c>
      <c r="R5" s="63" t="s">
        <v>166</v>
      </c>
      <c r="S5" s="63" t="s">
        <v>167</v>
      </c>
      <c r="T5" s="119"/>
      <c r="U5" s="55"/>
      <c r="V5" s="120"/>
      <c r="W5" s="121"/>
      <c r="X5" s="121"/>
      <c r="Y5" s="121"/>
      <c r="Z5" s="121"/>
      <c r="AA5" s="121"/>
      <c r="AB5" s="121"/>
      <c r="AC5" s="121"/>
      <c r="AD5" s="121"/>
      <c r="AE5" s="121"/>
      <c r="AF5" s="121"/>
    </row>
    <row r="6" s="38" customFormat="1" ht="28.8" spans="1:32">
      <c r="A6" s="64" t="s">
        <v>19</v>
      </c>
      <c r="B6" s="65">
        <f>B16+B24</f>
        <v>397926</v>
      </c>
      <c r="C6" s="65">
        <f>C16+C24</f>
        <v>399136</v>
      </c>
      <c r="D6" s="65">
        <f>D16+D24</f>
        <v>424672</v>
      </c>
      <c r="E6" s="65">
        <f>E16+E24</f>
        <v>47470</v>
      </c>
      <c r="F6" s="65">
        <f t="shared" ref="F6:F16" si="0">D6-B6</f>
        <v>26746</v>
      </c>
      <c r="G6" s="66">
        <f t="shared" ref="G6:G13" si="1">D6/C6-1</f>
        <v>0.0639781928966567</v>
      </c>
      <c r="H6" s="67">
        <f t="shared" ref="H6:J6" si="2">H17+H24</f>
        <v>54916</v>
      </c>
      <c r="I6" s="82">
        <f t="shared" si="2"/>
        <v>47470</v>
      </c>
      <c r="J6" s="90">
        <f t="shared" si="2"/>
        <v>56581</v>
      </c>
      <c r="K6" s="91">
        <f t="shared" ref="K6:K10" si="3">(J6-H6)/H6</f>
        <v>0.0303190327044941</v>
      </c>
      <c r="L6" s="92" t="s">
        <v>20</v>
      </c>
      <c r="M6" s="93"/>
      <c r="N6" s="67"/>
      <c r="O6" s="71"/>
      <c r="P6" s="94"/>
      <c r="Q6" s="94"/>
      <c r="R6" s="94"/>
      <c r="S6" s="94"/>
      <c r="T6" s="91"/>
      <c r="U6" s="55">
        <v>1600</v>
      </c>
      <c r="V6" s="120"/>
      <c r="W6" s="121"/>
      <c r="X6" s="121"/>
      <c r="Y6" s="121" t="s">
        <v>168</v>
      </c>
      <c r="Z6" s="121"/>
      <c r="AA6" s="121"/>
      <c r="AB6" s="121"/>
      <c r="AC6" s="121"/>
      <c r="AD6" s="121"/>
      <c r="AE6" s="121"/>
      <c r="AF6" s="121"/>
    </row>
    <row r="7" s="38" customFormat="1" spans="1:32">
      <c r="A7" s="68" t="s">
        <v>21</v>
      </c>
      <c r="B7" s="65">
        <v>286436</v>
      </c>
      <c r="C7" s="65">
        <f>102838+6205</f>
        <v>109043</v>
      </c>
      <c r="D7" s="65">
        <v>79866</v>
      </c>
      <c r="E7" s="65">
        <v>14952</v>
      </c>
      <c r="F7" s="65">
        <f t="shared" si="0"/>
        <v>-206570</v>
      </c>
      <c r="G7" s="66">
        <f t="shared" si="1"/>
        <v>-0.267573342626303</v>
      </c>
      <c r="H7" s="69">
        <v>17860</v>
      </c>
      <c r="I7" s="65">
        <v>14952</v>
      </c>
      <c r="J7" s="69">
        <v>19000</v>
      </c>
      <c r="K7" s="91">
        <f t="shared" si="3"/>
        <v>0.0638297872340425</v>
      </c>
      <c r="L7" s="95" t="s">
        <v>22</v>
      </c>
      <c r="M7" s="80">
        <f>M8+M9+M10</f>
        <v>6334</v>
      </c>
      <c r="N7" s="96">
        <f>N10</f>
        <v>0</v>
      </c>
      <c r="O7" s="97">
        <f>SUM(O8:O10)</f>
        <v>7365</v>
      </c>
      <c r="P7" s="94"/>
      <c r="Q7" s="94"/>
      <c r="R7" s="94"/>
      <c r="S7" s="94"/>
      <c r="T7" s="91">
        <f t="shared" ref="T7:T25" si="4">((O7-M7)/M7)</f>
        <v>0.16277233975371</v>
      </c>
      <c r="U7" s="55">
        <v>-1600</v>
      </c>
      <c r="V7" s="120">
        <f>(J6-H6)/H6</f>
        <v>0.0303190327044941</v>
      </c>
      <c r="W7" s="121"/>
      <c r="X7" s="121"/>
      <c r="Y7" s="121"/>
      <c r="Z7" s="121"/>
      <c r="AA7" s="121"/>
      <c r="AB7" s="121"/>
      <c r="AC7" s="121"/>
      <c r="AD7" s="121"/>
      <c r="AE7" s="121"/>
      <c r="AF7" s="121"/>
    </row>
    <row r="8" s="38" customFormat="1" spans="1:32">
      <c r="A8" s="68" t="s">
        <v>23</v>
      </c>
      <c r="B8" s="65"/>
      <c r="C8" s="65">
        <v>178235</v>
      </c>
      <c r="D8" s="65">
        <v>247944</v>
      </c>
      <c r="E8" s="65"/>
      <c r="F8" s="65">
        <f t="shared" si="0"/>
        <v>247944</v>
      </c>
      <c r="G8" s="66">
        <f t="shared" si="1"/>
        <v>0.391107246051561</v>
      </c>
      <c r="H8" s="69"/>
      <c r="I8" s="65"/>
      <c r="J8" s="69">
        <v>0</v>
      </c>
      <c r="K8" s="91"/>
      <c r="L8" s="98" t="s">
        <v>169</v>
      </c>
      <c r="M8" s="99">
        <v>6269</v>
      </c>
      <c r="N8" s="100"/>
      <c r="O8" s="99">
        <v>7300</v>
      </c>
      <c r="P8" s="101"/>
      <c r="Q8" s="101"/>
      <c r="R8" s="101"/>
      <c r="S8" s="101"/>
      <c r="T8" s="91">
        <f t="shared" si="4"/>
        <v>0.164460041473919</v>
      </c>
      <c r="U8" s="55"/>
      <c r="V8" s="120"/>
      <c r="W8" s="121"/>
      <c r="X8" s="121"/>
      <c r="Y8" s="121"/>
      <c r="Z8" s="121"/>
      <c r="AA8" s="121"/>
      <c r="AB8" s="121"/>
      <c r="AC8" s="121"/>
      <c r="AD8" s="121"/>
      <c r="AE8" s="121"/>
      <c r="AF8" s="121"/>
    </row>
    <row r="9" s="38" customFormat="1" spans="1:32">
      <c r="A9" s="68" t="s">
        <v>25</v>
      </c>
      <c r="B9" s="65">
        <v>68333</v>
      </c>
      <c r="C9" s="65">
        <v>59013</v>
      </c>
      <c r="D9" s="65">
        <v>54994</v>
      </c>
      <c r="E9" s="65">
        <v>9899</v>
      </c>
      <c r="F9" s="65">
        <f t="shared" si="0"/>
        <v>-13339</v>
      </c>
      <c r="G9" s="66">
        <f t="shared" si="1"/>
        <v>-0.0681036381814176</v>
      </c>
      <c r="H9" s="69">
        <v>6593</v>
      </c>
      <c r="I9" s="65">
        <v>9899</v>
      </c>
      <c r="J9" s="69">
        <v>6500</v>
      </c>
      <c r="K9" s="91">
        <f t="shared" si="3"/>
        <v>-0.0141058698619748</v>
      </c>
      <c r="L9" s="98" t="s">
        <v>170</v>
      </c>
      <c r="M9" s="99">
        <v>65</v>
      </c>
      <c r="N9" s="100"/>
      <c r="O9" s="99">
        <v>65</v>
      </c>
      <c r="P9" s="101"/>
      <c r="Q9" s="101"/>
      <c r="R9" s="101"/>
      <c r="S9" s="101"/>
      <c r="T9" s="91"/>
      <c r="U9" s="55"/>
      <c r="V9" s="122"/>
      <c r="W9" s="121"/>
      <c r="X9" s="121"/>
      <c r="Y9" s="121"/>
      <c r="Z9" s="121"/>
      <c r="AA9" s="121"/>
      <c r="AB9" s="121"/>
      <c r="AC9" s="121"/>
      <c r="AD9" s="121"/>
      <c r="AE9" s="121"/>
      <c r="AF9" s="121"/>
    </row>
    <row r="10" s="38" customFormat="1" spans="1:32">
      <c r="A10" s="68" t="s">
        <v>27</v>
      </c>
      <c r="B10" s="65">
        <v>30000</v>
      </c>
      <c r="C10" s="65">
        <v>19781</v>
      </c>
      <c r="D10" s="65">
        <v>19460</v>
      </c>
      <c r="E10" s="65">
        <v>2919</v>
      </c>
      <c r="F10" s="65">
        <f t="shared" si="0"/>
        <v>-10540</v>
      </c>
      <c r="G10" s="66">
        <f t="shared" si="1"/>
        <v>-0.0162276932409888</v>
      </c>
      <c r="H10" s="69">
        <v>2000</v>
      </c>
      <c r="I10" s="65">
        <v>2919</v>
      </c>
      <c r="J10" s="69">
        <v>2000</v>
      </c>
      <c r="K10" s="91">
        <f t="shared" si="3"/>
        <v>0</v>
      </c>
      <c r="L10" s="102"/>
      <c r="M10" s="99"/>
      <c r="N10" s="100"/>
      <c r="O10" s="99"/>
      <c r="P10" s="101"/>
      <c r="Q10" s="101"/>
      <c r="R10" s="101"/>
      <c r="S10" s="101"/>
      <c r="T10" s="91"/>
      <c r="U10" s="55"/>
      <c r="V10" s="122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</row>
    <row r="11" s="38" customFormat="1" spans="1:32">
      <c r="A11" s="68" t="s">
        <v>28</v>
      </c>
      <c r="B11" s="65"/>
      <c r="C11" s="65">
        <v>22</v>
      </c>
      <c r="D11" s="65">
        <v>22</v>
      </c>
      <c r="E11" s="65">
        <v>22</v>
      </c>
      <c r="F11" s="65">
        <f t="shared" si="0"/>
        <v>22</v>
      </c>
      <c r="G11" s="66">
        <f t="shared" si="1"/>
        <v>0</v>
      </c>
      <c r="H11" s="69">
        <v>0</v>
      </c>
      <c r="I11" s="65">
        <v>22</v>
      </c>
      <c r="J11" s="69">
        <v>4</v>
      </c>
      <c r="K11" s="91"/>
      <c r="L11" s="103" t="s">
        <v>29</v>
      </c>
      <c r="M11" s="98">
        <f t="shared" ref="M11:S11" si="5">SUM(M12:M31)</f>
        <v>146699</v>
      </c>
      <c r="N11" s="98">
        <f t="shared" si="5"/>
        <v>0</v>
      </c>
      <c r="O11" s="98">
        <f t="shared" si="5"/>
        <v>149629.43</v>
      </c>
      <c r="P11" s="98">
        <f t="shared" si="5"/>
        <v>132002.89</v>
      </c>
      <c r="Q11" s="98">
        <f t="shared" si="5"/>
        <v>2512.53999999998</v>
      </c>
      <c r="R11" s="98">
        <f t="shared" si="5"/>
        <v>1831</v>
      </c>
      <c r="S11" s="98">
        <f t="shared" si="5"/>
        <v>13283</v>
      </c>
      <c r="T11" s="91">
        <f t="shared" si="4"/>
        <v>0.0199758007893712</v>
      </c>
      <c r="U11" s="55"/>
      <c r="V11" s="123">
        <f>O31/O11</f>
        <v>0.0334158861662442</v>
      </c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="38" customFormat="1" spans="1:32">
      <c r="A12" s="68" t="s">
        <v>30</v>
      </c>
      <c r="B12" s="65">
        <v>5714</v>
      </c>
      <c r="C12" s="65">
        <v>3673</v>
      </c>
      <c r="D12" s="65">
        <v>2548</v>
      </c>
      <c r="E12" s="65">
        <v>2548</v>
      </c>
      <c r="F12" s="65">
        <f t="shared" si="0"/>
        <v>-3166</v>
      </c>
      <c r="G12" s="66">
        <f t="shared" si="1"/>
        <v>-0.306289136945276</v>
      </c>
      <c r="H12" s="69">
        <v>6755</v>
      </c>
      <c r="I12" s="65">
        <v>2548</v>
      </c>
      <c r="J12" s="69">
        <v>7800</v>
      </c>
      <c r="K12" s="91">
        <f t="shared" ref="K12:K15" si="6">(J12-H12)/H12</f>
        <v>0.154700222057735</v>
      </c>
      <c r="L12" s="104" t="s">
        <v>31</v>
      </c>
      <c r="M12" s="101">
        <v>15452</v>
      </c>
      <c r="N12" s="105"/>
      <c r="O12" s="101">
        <f t="shared" ref="O12:O31" si="7">SUM(P12:S12)</f>
        <v>16198.25</v>
      </c>
      <c r="P12" s="101">
        <v>16124.25</v>
      </c>
      <c r="Q12" s="124"/>
      <c r="R12" s="101"/>
      <c r="S12" s="101">
        <v>74</v>
      </c>
      <c r="T12" s="91">
        <f t="shared" si="4"/>
        <v>0.0482947191302097</v>
      </c>
      <c r="U12" s="55">
        <f t="shared" ref="U12:U17" si="8">O12-M12</f>
        <v>746.25</v>
      </c>
      <c r="V12" s="122"/>
      <c r="W12" s="121"/>
      <c r="X12" s="125"/>
      <c r="Y12" s="131"/>
      <c r="Z12" s="131"/>
      <c r="AA12" s="131"/>
      <c r="AB12" s="121"/>
      <c r="AC12" s="121"/>
      <c r="AD12" s="121"/>
      <c r="AE12" s="121"/>
      <c r="AF12" s="121"/>
    </row>
    <row r="13" s="38" customFormat="1" spans="1:32">
      <c r="A13" s="68" t="s">
        <v>32</v>
      </c>
      <c r="B13" s="65">
        <v>1100</v>
      </c>
      <c r="C13" s="65">
        <v>3514</v>
      </c>
      <c r="D13" s="65">
        <v>2513</v>
      </c>
      <c r="E13" s="65">
        <v>2513</v>
      </c>
      <c r="F13" s="65">
        <f t="shared" si="0"/>
        <v>1413</v>
      </c>
      <c r="G13" s="66">
        <f t="shared" si="1"/>
        <v>-0.284860557768924</v>
      </c>
      <c r="H13" s="69">
        <v>3700</v>
      </c>
      <c r="I13" s="65">
        <v>2513</v>
      </c>
      <c r="J13" s="69">
        <v>3800</v>
      </c>
      <c r="K13" s="91">
        <f t="shared" si="6"/>
        <v>0.027027027027027</v>
      </c>
      <c r="L13" s="104" t="s">
        <v>33</v>
      </c>
      <c r="M13" s="101">
        <v>203</v>
      </c>
      <c r="N13" s="105"/>
      <c r="O13" s="101">
        <f t="shared" si="7"/>
        <v>204</v>
      </c>
      <c r="P13" s="101">
        <v>204</v>
      </c>
      <c r="Q13" s="101"/>
      <c r="R13" s="101"/>
      <c r="S13" s="101"/>
      <c r="T13" s="91">
        <f t="shared" si="4"/>
        <v>0.00492610837438424</v>
      </c>
      <c r="U13" s="55"/>
      <c r="V13" s="122"/>
      <c r="W13" s="121"/>
      <c r="X13" s="125"/>
      <c r="Y13" s="131"/>
      <c r="Z13" s="131"/>
      <c r="AA13" s="131"/>
      <c r="AB13" s="121"/>
      <c r="AC13" s="121"/>
      <c r="AD13" s="121"/>
      <c r="AE13" s="121"/>
      <c r="AF13" s="121"/>
    </row>
    <row r="14" s="38" customFormat="1" spans="1:32">
      <c r="A14" s="68" t="s">
        <v>34</v>
      </c>
      <c r="B14" s="65">
        <v>800</v>
      </c>
      <c r="C14" s="65">
        <v>288</v>
      </c>
      <c r="D14" s="65">
        <v>288</v>
      </c>
      <c r="E14" s="65">
        <v>288</v>
      </c>
      <c r="F14" s="65">
        <f t="shared" si="0"/>
        <v>-512</v>
      </c>
      <c r="G14" s="66"/>
      <c r="H14" s="69">
        <v>8100</v>
      </c>
      <c r="I14" s="65">
        <v>288</v>
      </c>
      <c r="J14" s="69">
        <v>7600</v>
      </c>
      <c r="K14" s="91">
        <f t="shared" si="6"/>
        <v>-0.0617283950617284</v>
      </c>
      <c r="L14" s="104" t="s">
        <v>35</v>
      </c>
      <c r="M14" s="101">
        <v>4946</v>
      </c>
      <c r="N14" s="105"/>
      <c r="O14" s="101">
        <f t="shared" si="7"/>
        <v>4357.64</v>
      </c>
      <c r="P14" s="101">
        <v>4353.64</v>
      </c>
      <c r="Q14" s="101"/>
      <c r="R14" s="101"/>
      <c r="S14" s="101">
        <v>4</v>
      </c>
      <c r="T14" s="91">
        <f t="shared" si="4"/>
        <v>-0.118956732713304</v>
      </c>
      <c r="U14" s="55"/>
      <c r="V14" s="122"/>
      <c r="W14" s="121"/>
      <c r="X14" s="125"/>
      <c r="Y14" s="131"/>
      <c r="Z14" s="131"/>
      <c r="AA14" s="131"/>
      <c r="AB14" s="121"/>
      <c r="AC14" s="121"/>
      <c r="AD14" s="121"/>
      <c r="AE14" s="121"/>
      <c r="AF14" s="121"/>
    </row>
    <row r="15" s="38" customFormat="1" spans="1:32">
      <c r="A15" s="68" t="s">
        <v>36</v>
      </c>
      <c r="B15" s="65">
        <v>500</v>
      </c>
      <c r="C15" s="65">
        <v>16864</v>
      </c>
      <c r="D15" s="65">
        <v>9527</v>
      </c>
      <c r="E15" s="65">
        <v>7622</v>
      </c>
      <c r="F15" s="65">
        <f t="shared" si="0"/>
        <v>9027</v>
      </c>
      <c r="G15" s="66">
        <f t="shared" ref="G15:G22" si="9">D15/C15-1</f>
        <v>-0.435068785578748</v>
      </c>
      <c r="H15" s="69">
        <v>5164</v>
      </c>
      <c r="I15" s="65">
        <v>7622</v>
      </c>
      <c r="J15" s="69">
        <v>5077</v>
      </c>
      <c r="K15" s="91">
        <f t="shared" si="6"/>
        <v>-0.016847405112316</v>
      </c>
      <c r="L15" s="104" t="s">
        <v>37</v>
      </c>
      <c r="M15" s="101">
        <v>47579</v>
      </c>
      <c r="N15" s="105"/>
      <c r="O15" s="101">
        <f t="shared" si="7"/>
        <v>48622.01</v>
      </c>
      <c r="P15" s="101">
        <v>48060.01</v>
      </c>
      <c r="Q15" s="101">
        <v>562</v>
      </c>
      <c r="R15" s="101"/>
      <c r="S15" s="101"/>
      <c r="T15" s="91">
        <f t="shared" si="4"/>
        <v>0.0219216461043738</v>
      </c>
      <c r="U15" s="55">
        <f t="shared" si="8"/>
        <v>1043.01</v>
      </c>
      <c r="V15" s="122"/>
      <c r="W15" s="121"/>
      <c r="X15" s="125">
        <v>-200</v>
      </c>
      <c r="Y15" s="131" t="s">
        <v>171</v>
      </c>
      <c r="Z15" s="131" t="s">
        <v>172</v>
      </c>
      <c r="AA15" s="131"/>
      <c r="AB15" s="121"/>
      <c r="AC15" s="121"/>
      <c r="AD15" s="121"/>
      <c r="AE15" s="121"/>
      <c r="AF15" s="121"/>
    </row>
    <row r="16" s="38" customFormat="1" spans="1:32">
      <c r="A16" s="68" t="s">
        <v>38</v>
      </c>
      <c r="B16" s="65">
        <f>SUM(B7:B15)</f>
        <v>392883</v>
      </c>
      <c r="C16" s="65">
        <f>SUM(C7:C15)</f>
        <v>390433</v>
      </c>
      <c r="D16" s="65">
        <f>SUM(D7:D15)</f>
        <v>417162</v>
      </c>
      <c r="E16" s="65">
        <f>SUM(E7:E15)</f>
        <v>40763</v>
      </c>
      <c r="F16" s="65">
        <f t="shared" si="0"/>
        <v>24279</v>
      </c>
      <c r="G16" s="66">
        <f t="shared" si="9"/>
        <v>0.0684598894048403</v>
      </c>
      <c r="H16" s="69"/>
      <c r="I16" s="66"/>
      <c r="J16" s="69">
        <v>0</v>
      </c>
      <c r="K16" s="91"/>
      <c r="L16" s="104" t="s">
        <v>39</v>
      </c>
      <c r="M16" s="101">
        <v>1494</v>
      </c>
      <c r="N16" s="105"/>
      <c r="O16" s="101">
        <f t="shared" si="7"/>
        <v>2030.48</v>
      </c>
      <c r="P16" s="101">
        <v>2030.48</v>
      </c>
      <c r="Q16" s="101"/>
      <c r="R16" s="101"/>
      <c r="S16" s="101"/>
      <c r="T16" s="91">
        <f t="shared" si="4"/>
        <v>0.35908969210174</v>
      </c>
      <c r="U16" s="55">
        <f t="shared" si="8"/>
        <v>536.48</v>
      </c>
      <c r="V16" s="123">
        <f>O16/O11</f>
        <v>0.0135700577085671</v>
      </c>
      <c r="W16" s="121"/>
      <c r="X16" s="125">
        <v>200</v>
      </c>
      <c r="Y16" s="131" t="s">
        <v>171</v>
      </c>
      <c r="Z16" s="131" t="s">
        <v>173</v>
      </c>
      <c r="AA16" s="131"/>
      <c r="AB16" s="121"/>
      <c r="AC16" s="121"/>
      <c r="AD16" s="121"/>
      <c r="AE16" s="121"/>
      <c r="AF16" s="121"/>
    </row>
    <row r="17" s="38" customFormat="1" spans="1:32">
      <c r="A17" s="70" t="s">
        <v>40</v>
      </c>
      <c r="B17" s="65"/>
      <c r="C17" s="65"/>
      <c r="D17" s="65"/>
      <c r="E17" s="65"/>
      <c r="F17" s="65"/>
      <c r="G17" s="66"/>
      <c r="H17" s="71">
        <f t="shared" ref="H17:J17" si="10">SUM(H7:H16)</f>
        <v>50172</v>
      </c>
      <c r="I17" s="82">
        <f t="shared" si="10"/>
        <v>40763</v>
      </c>
      <c r="J17" s="90">
        <f t="shared" si="10"/>
        <v>51781</v>
      </c>
      <c r="K17" s="91">
        <f t="shared" ref="K17:K22" si="11">(J17-H17)/H17</f>
        <v>0.0320696802997688</v>
      </c>
      <c r="L17" s="104" t="s">
        <v>41</v>
      </c>
      <c r="M17" s="101">
        <v>591</v>
      </c>
      <c r="N17" s="105"/>
      <c r="O17" s="101">
        <f t="shared" si="7"/>
        <v>229.43</v>
      </c>
      <c r="P17" s="101">
        <v>229.43</v>
      </c>
      <c r="Q17" s="101"/>
      <c r="R17" s="101"/>
      <c r="S17" s="101"/>
      <c r="T17" s="91">
        <f t="shared" si="4"/>
        <v>-0.611793570219966</v>
      </c>
      <c r="U17" s="55">
        <f t="shared" si="8"/>
        <v>-361.57</v>
      </c>
      <c r="V17" s="123">
        <f>H24/H6</f>
        <v>0.0863864811712434</v>
      </c>
      <c r="W17" s="126">
        <f>J24/J6</f>
        <v>0.0848341315989466</v>
      </c>
      <c r="X17" s="125"/>
      <c r="Y17" s="131"/>
      <c r="Z17" s="131"/>
      <c r="AA17" s="131"/>
      <c r="AB17" s="121"/>
      <c r="AC17" s="121"/>
      <c r="AD17" s="121"/>
      <c r="AE17" s="121"/>
      <c r="AF17" s="121"/>
    </row>
    <row r="18" s="38" customFormat="1" spans="1:32">
      <c r="A18" s="72"/>
      <c r="B18" s="72"/>
      <c r="C18" s="72"/>
      <c r="D18" s="72"/>
      <c r="E18" s="72"/>
      <c r="F18" s="72"/>
      <c r="G18" s="72"/>
      <c r="H18" s="73"/>
      <c r="I18" s="72"/>
      <c r="J18" s="90"/>
      <c r="K18" s="91"/>
      <c r="L18" s="106" t="s">
        <v>42</v>
      </c>
      <c r="M18" s="101">
        <v>34902</v>
      </c>
      <c r="N18" s="105"/>
      <c r="O18" s="101">
        <f t="shared" si="7"/>
        <v>34832.64</v>
      </c>
      <c r="P18" s="101">
        <v>30025.64</v>
      </c>
      <c r="Q18" s="101">
        <v>100</v>
      </c>
      <c r="R18" s="101"/>
      <c r="S18" s="101">
        <v>4707</v>
      </c>
      <c r="T18" s="91">
        <f t="shared" si="4"/>
        <v>-0.00198727866597904</v>
      </c>
      <c r="U18" s="55"/>
      <c r="V18" s="122"/>
      <c r="W18" s="121"/>
      <c r="X18" s="127"/>
      <c r="Y18" s="131"/>
      <c r="Z18" s="131"/>
      <c r="AA18" s="131"/>
      <c r="AB18" s="121"/>
      <c r="AC18" s="121"/>
      <c r="AD18" s="121"/>
      <c r="AE18" s="121"/>
      <c r="AF18" s="121"/>
    </row>
    <row r="19" s="38" customFormat="1" spans="1:32">
      <c r="A19" s="68" t="s">
        <v>43</v>
      </c>
      <c r="B19" s="65">
        <v>2143</v>
      </c>
      <c r="C19" s="65">
        <v>7161</v>
      </c>
      <c r="D19" s="65">
        <v>4015</v>
      </c>
      <c r="E19" s="65">
        <v>3212</v>
      </c>
      <c r="F19" s="65">
        <f t="shared" ref="F19:F22" si="12">D19-B19</f>
        <v>1872</v>
      </c>
      <c r="G19" s="66">
        <f t="shared" si="9"/>
        <v>-0.439324116743472</v>
      </c>
      <c r="H19" s="74">
        <v>2000</v>
      </c>
      <c r="I19" s="65">
        <v>3212</v>
      </c>
      <c r="J19" s="69">
        <v>2500</v>
      </c>
      <c r="K19" s="91">
        <f t="shared" si="11"/>
        <v>0.25</v>
      </c>
      <c r="L19" s="106" t="s">
        <v>44</v>
      </c>
      <c r="M19" s="101">
        <v>7897</v>
      </c>
      <c r="N19" s="105"/>
      <c r="O19" s="101">
        <f t="shared" si="7"/>
        <v>6028.48</v>
      </c>
      <c r="P19" s="101">
        <v>5768.48</v>
      </c>
      <c r="Q19" s="101">
        <v>170</v>
      </c>
      <c r="R19" s="101"/>
      <c r="S19" s="101">
        <v>90</v>
      </c>
      <c r="T19" s="91">
        <f t="shared" si="4"/>
        <v>-0.236611371406863</v>
      </c>
      <c r="U19" s="55"/>
      <c r="V19" s="122"/>
      <c r="W19" s="121"/>
      <c r="X19" s="127"/>
      <c r="Y19" s="131"/>
      <c r="Z19" s="131"/>
      <c r="AA19" s="131"/>
      <c r="AB19" s="121"/>
      <c r="AC19" s="121"/>
      <c r="AD19" s="121"/>
      <c r="AE19" s="121"/>
      <c r="AF19" s="121"/>
    </row>
    <row r="20" s="38" customFormat="1" spans="1:32">
      <c r="A20" s="68" t="s">
        <v>45</v>
      </c>
      <c r="B20" s="65">
        <v>2000</v>
      </c>
      <c r="C20" s="65">
        <v>912</v>
      </c>
      <c r="D20" s="65">
        <v>2013</v>
      </c>
      <c r="E20" s="65">
        <v>2013</v>
      </c>
      <c r="F20" s="65">
        <f t="shared" si="12"/>
        <v>13</v>
      </c>
      <c r="G20" s="66">
        <f t="shared" si="9"/>
        <v>1.20723684210526</v>
      </c>
      <c r="H20" s="74">
        <v>224</v>
      </c>
      <c r="I20" s="65">
        <v>2013</v>
      </c>
      <c r="J20" s="69">
        <v>450</v>
      </c>
      <c r="K20" s="91">
        <f t="shared" si="11"/>
        <v>1.00892857142857</v>
      </c>
      <c r="L20" s="104" t="s">
        <v>46</v>
      </c>
      <c r="M20" s="101">
        <v>6</v>
      </c>
      <c r="N20" s="105"/>
      <c r="O20" s="101">
        <f t="shared" si="7"/>
        <v>9</v>
      </c>
      <c r="P20" s="101"/>
      <c r="Q20" s="101"/>
      <c r="R20" s="101"/>
      <c r="S20" s="101">
        <v>9</v>
      </c>
      <c r="T20" s="91">
        <f t="shared" si="4"/>
        <v>0.5</v>
      </c>
      <c r="U20" s="55"/>
      <c r="V20" s="122" t="s">
        <v>174</v>
      </c>
      <c r="W20" s="121"/>
      <c r="X20" s="125"/>
      <c r="Y20" s="131"/>
      <c r="Z20" s="131"/>
      <c r="AA20" s="131"/>
      <c r="AB20" s="121"/>
      <c r="AC20" s="121"/>
      <c r="AD20" s="121"/>
      <c r="AE20" s="121"/>
      <c r="AF20" s="121"/>
    </row>
    <row r="21" s="38" customFormat="1" spans="1:32">
      <c r="A21" s="68" t="s">
        <v>47</v>
      </c>
      <c r="B21" s="65">
        <v>700</v>
      </c>
      <c r="C21" s="65">
        <v>530</v>
      </c>
      <c r="D21" s="65">
        <v>1382</v>
      </c>
      <c r="E21" s="65">
        <v>1382</v>
      </c>
      <c r="F21" s="65">
        <f t="shared" si="12"/>
        <v>682</v>
      </c>
      <c r="G21" s="66">
        <f t="shared" si="9"/>
        <v>1.60754716981132</v>
      </c>
      <c r="H21" s="74">
        <v>420</v>
      </c>
      <c r="I21" s="65">
        <v>1382</v>
      </c>
      <c r="J21" s="69">
        <v>350</v>
      </c>
      <c r="K21" s="91">
        <f t="shared" si="11"/>
        <v>-0.166666666666667</v>
      </c>
      <c r="L21" s="106" t="s">
        <v>48</v>
      </c>
      <c r="M21" s="101">
        <v>10412</v>
      </c>
      <c r="N21" s="105"/>
      <c r="O21" s="101">
        <f t="shared" si="7"/>
        <v>10954.43</v>
      </c>
      <c r="P21" s="101">
        <v>10954.43</v>
      </c>
      <c r="Q21" s="101"/>
      <c r="R21" s="101"/>
      <c r="S21" s="101"/>
      <c r="T21" s="91">
        <f t="shared" si="4"/>
        <v>0.0520966192854399</v>
      </c>
      <c r="U21" s="53">
        <f>O16/O11</f>
        <v>0.0135700577085671</v>
      </c>
      <c r="V21" s="123">
        <f>(J17+J19-H17-H19)/(H17+H19)</f>
        <v>0.0404239822126811</v>
      </c>
      <c r="W21" s="121"/>
      <c r="X21" s="127"/>
      <c r="Y21" s="131"/>
      <c r="Z21" s="131"/>
      <c r="AA21" s="131"/>
      <c r="AB21" s="121"/>
      <c r="AC21" s="121"/>
      <c r="AD21" s="121"/>
      <c r="AE21" s="121"/>
      <c r="AF21" s="121"/>
    </row>
    <row r="22" s="38" customFormat="1" spans="1:32">
      <c r="A22" s="68" t="s">
        <v>49</v>
      </c>
      <c r="B22" s="65">
        <v>200</v>
      </c>
      <c r="C22" s="65">
        <v>100</v>
      </c>
      <c r="D22" s="65">
        <v>100</v>
      </c>
      <c r="E22" s="65">
        <v>100</v>
      </c>
      <c r="F22" s="65">
        <f t="shared" si="12"/>
        <v>-100</v>
      </c>
      <c r="G22" s="66">
        <f t="shared" si="9"/>
        <v>0</v>
      </c>
      <c r="H22" s="74">
        <v>2100</v>
      </c>
      <c r="I22" s="65">
        <v>100</v>
      </c>
      <c r="J22" s="69">
        <v>1500</v>
      </c>
      <c r="K22" s="91">
        <f t="shared" si="11"/>
        <v>-0.285714285714286</v>
      </c>
      <c r="L22" s="106" t="s">
        <v>50</v>
      </c>
      <c r="M22" s="101">
        <v>6421</v>
      </c>
      <c r="N22" s="105"/>
      <c r="O22" s="101">
        <f t="shared" si="7"/>
        <v>8742.63999999998</v>
      </c>
      <c r="P22" s="101">
        <v>2212.1</v>
      </c>
      <c r="Q22" s="128">
        <v>65.539999999979</v>
      </c>
      <c r="R22" s="101">
        <v>513</v>
      </c>
      <c r="S22" s="101">
        <v>5952</v>
      </c>
      <c r="T22" s="91">
        <f t="shared" si="4"/>
        <v>0.361569848933185</v>
      </c>
      <c r="U22" s="55"/>
      <c r="V22" s="122"/>
      <c r="W22" s="121"/>
      <c r="X22" s="127"/>
      <c r="Y22" s="131"/>
      <c r="Z22" s="131"/>
      <c r="AA22" s="131"/>
      <c r="AB22" s="121"/>
      <c r="AC22" s="121"/>
      <c r="AD22" s="121"/>
      <c r="AE22" s="121"/>
      <c r="AF22" s="121"/>
    </row>
    <row r="23" s="38" customFormat="1" spans="1:32">
      <c r="A23" s="68" t="s">
        <v>51</v>
      </c>
      <c r="B23" s="65"/>
      <c r="C23" s="65"/>
      <c r="D23" s="65"/>
      <c r="E23" s="65"/>
      <c r="F23" s="65"/>
      <c r="G23" s="66"/>
      <c r="H23" s="69"/>
      <c r="I23" s="105"/>
      <c r="J23" s="69"/>
      <c r="K23" s="91"/>
      <c r="L23" s="106" t="s">
        <v>52</v>
      </c>
      <c r="M23" s="101">
        <v>564</v>
      </c>
      <c r="N23" s="105"/>
      <c r="O23" s="101">
        <f t="shared" si="7"/>
        <v>30.95</v>
      </c>
      <c r="P23" s="101">
        <v>4.95</v>
      </c>
      <c r="Q23" s="101"/>
      <c r="R23" s="101"/>
      <c r="S23" s="101">
        <v>26</v>
      </c>
      <c r="T23" s="91">
        <f t="shared" si="4"/>
        <v>-0.945124113475177</v>
      </c>
      <c r="U23" s="55"/>
      <c r="V23" s="122"/>
      <c r="W23" s="121"/>
      <c r="X23" s="125"/>
      <c r="Y23" s="131"/>
      <c r="Z23" s="131"/>
      <c r="AA23" s="131"/>
      <c r="AB23" s="121"/>
      <c r="AC23" s="121"/>
      <c r="AD23" s="121"/>
      <c r="AE23" s="121"/>
      <c r="AF23" s="121"/>
    </row>
    <row r="24" s="38" customFormat="1" spans="1:28">
      <c r="A24" s="70" t="s">
        <v>53</v>
      </c>
      <c r="B24" s="65">
        <f>SUM(B19:B23)</f>
        <v>5043</v>
      </c>
      <c r="C24" s="65">
        <f t="shared" ref="C24:J24" si="13">SUM(C19:C23)</f>
        <v>8703</v>
      </c>
      <c r="D24" s="65">
        <f t="shared" si="13"/>
        <v>7510</v>
      </c>
      <c r="E24" s="65">
        <f t="shared" si="13"/>
        <v>6707</v>
      </c>
      <c r="F24" s="65">
        <f>D24-B24</f>
        <v>2467</v>
      </c>
      <c r="G24" s="66">
        <f>D24/C24-1</f>
        <v>-0.137079168102953</v>
      </c>
      <c r="H24" s="69">
        <f t="shared" si="13"/>
        <v>4744</v>
      </c>
      <c r="I24" s="65">
        <f t="shared" si="13"/>
        <v>6707</v>
      </c>
      <c r="J24" s="69">
        <f t="shared" si="13"/>
        <v>4800</v>
      </c>
      <c r="K24" s="91">
        <f t="shared" ref="K24:K28" si="14">(J24-H24)/H24</f>
        <v>0.0118043844856661</v>
      </c>
      <c r="L24" s="104" t="s">
        <v>175</v>
      </c>
      <c r="M24" s="101">
        <v>565</v>
      </c>
      <c r="N24" s="105"/>
      <c r="O24" s="101">
        <f t="shared" si="7"/>
        <v>644.55</v>
      </c>
      <c r="P24" s="101">
        <v>644.55</v>
      </c>
      <c r="Q24" s="101"/>
      <c r="R24" s="101"/>
      <c r="S24" s="101"/>
      <c r="T24" s="91">
        <f t="shared" si="4"/>
        <v>0.140796460176991</v>
      </c>
      <c r="U24" s="55"/>
      <c r="V24" s="122"/>
      <c r="W24" s="121"/>
      <c r="X24" s="125"/>
      <c r="Y24" s="131"/>
      <c r="Z24" s="131"/>
      <c r="AA24" s="131"/>
      <c r="AB24" s="121"/>
    </row>
    <row r="25" s="38" customFormat="1" spans="1:28">
      <c r="A25" s="68"/>
      <c r="B25" s="68"/>
      <c r="C25" s="68"/>
      <c r="D25" s="68"/>
      <c r="E25" s="68"/>
      <c r="F25" s="68"/>
      <c r="G25" s="68"/>
      <c r="H25" s="75"/>
      <c r="I25" s="68"/>
      <c r="J25" s="69"/>
      <c r="K25" s="91"/>
      <c r="L25" s="104" t="s">
        <v>55</v>
      </c>
      <c r="M25" s="101">
        <v>190</v>
      </c>
      <c r="N25" s="105"/>
      <c r="O25" s="101">
        <f t="shared" si="7"/>
        <v>205.44</v>
      </c>
      <c r="P25" s="101">
        <v>205.44</v>
      </c>
      <c r="Q25" s="101"/>
      <c r="R25" s="101"/>
      <c r="S25" s="101"/>
      <c r="T25" s="91">
        <f t="shared" si="4"/>
        <v>0.0812631578947368</v>
      </c>
      <c r="U25" s="55"/>
      <c r="V25" s="122"/>
      <c r="W25" s="121"/>
      <c r="X25" s="125"/>
      <c r="Y25" s="131"/>
      <c r="Z25" s="131"/>
      <c r="AA25" s="131"/>
      <c r="AB25" s="121"/>
    </row>
    <row r="26" s="38" customFormat="1" spans="1:28">
      <c r="A26" s="64" t="s">
        <v>56</v>
      </c>
      <c r="B26" s="68"/>
      <c r="C26" s="68"/>
      <c r="D26" s="68"/>
      <c r="E26" s="68"/>
      <c r="F26" s="68"/>
      <c r="G26" s="68"/>
      <c r="H26" s="69">
        <v>7721</v>
      </c>
      <c r="I26" s="68"/>
      <c r="J26" s="69">
        <v>7721</v>
      </c>
      <c r="K26" s="91">
        <f t="shared" si="14"/>
        <v>0</v>
      </c>
      <c r="L26" s="104" t="s">
        <v>57</v>
      </c>
      <c r="M26" s="101">
        <v>1161</v>
      </c>
      <c r="N26" s="105"/>
      <c r="O26" s="101">
        <f t="shared" si="7"/>
        <v>1318</v>
      </c>
      <c r="P26" s="101"/>
      <c r="Q26" s="101"/>
      <c r="R26" s="101">
        <v>1318</v>
      </c>
      <c r="S26" s="101"/>
      <c r="T26" s="91"/>
      <c r="U26" s="55"/>
      <c r="V26" s="122"/>
      <c r="W26" s="121"/>
      <c r="X26" s="125"/>
      <c r="Y26" s="131"/>
      <c r="Z26" s="131"/>
      <c r="AA26" s="131"/>
      <c r="AB26" s="121"/>
    </row>
    <row r="27" s="38" customFormat="1" spans="1:28">
      <c r="A27" s="64" t="s">
        <v>58</v>
      </c>
      <c r="B27" s="68"/>
      <c r="C27" s="68"/>
      <c r="D27" s="68"/>
      <c r="E27" s="68"/>
      <c r="F27" s="68"/>
      <c r="G27" s="68"/>
      <c r="H27" s="69">
        <v>23038</v>
      </c>
      <c r="I27" s="68"/>
      <c r="J27" s="69">
        <v>23038</v>
      </c>
      <c r="K27" s="91">
        <f t="shared" si="14"/>
        <v>0</v>
      </c>
      <c r="L27" s="104" t="s">
        <v>176</v>
      </c>
      <c r="M27" s="101">
        <v>8126</v>
      </c>
      <c r="N27" s="105"/>
      <c r="O27" s="101">
        <f t="shared" si="7"/>
        <v>8891.44</v>
      </c>
      <c r="P27" s="101">
        <v>4855.44</v>
      </c>
      <c r="Q27" s="101">
        <v>1615</v>
      </c>
      <c r="R27" s="101"/>
      <c r="S27" s="101">
        <v>2421</v>
      </c>
      <c r="T27" s="91">
        <f t="shared" ref="T27:T29" si="15">((O27-M27)/M27)</f>
        <v>0.0941964065961111</v>
      </c>
      <c r="U27" s="55"/>
      <c r="V27" s="122"/>
      <c r="W27" s="121"/>
      <c r="X27" s="125"/>
      <c r="Y27" s="131"/>
      <c r="Z27" s="131"/>
      <c r="AA27" s="131"/>
      <c r="AB27" s="121"/>
    </row>
    <row r="28" s="38" customFormat="1" spans="1:28">
      <c r="A28" s="64" t="s">
        <v>60</v>
      </c>
      <c r="B28" s="68"/>
      <c r="C28" s="68"/>
      <c r="D28" s="68"/>
      <c r="E28" s="68"/>
      <c r="F28" s="68"/>
      <c r="G28" s="68"/>
      <c r="H28" s="69">
        <v>23268</v>
      </c>
      <c r="I28" s="68"/>
      <c r="J28" s="69">
        <v>20000</v>
      </c>
      <c r="K28" s="91">
        <f t="shared" si="14"/>
        <v>-0.14045040398831</v>
      </c>
      <c r="L28" s="104" t="s">
        <v>177</v>
      </c>
      <c r="M28" s="101">
        <v>175</v>
      </c>
      <c r="N28" s="105"/>
      <c r="O28" s="101">
        <f t="shared" si="7"/>
        <v>235.06</v>
      </c>
      <c r="P28" s="101">
        <v>235.06</v>
      </c>
      <c r="Q28" s="101"/>
      <c r="R28" s="101"/>
      <c r="S28" s="101"/>
      <c r="T28" s="91">
        <f t="shared" si="15"/>
        <v>0.3432</v>
      </c>
      <c r="U28" s="55"/>
      <c r="V28" s="122"/>
      <c r="W28" s="121"/>
      <c r="X28" s="125"/>
      <c r="Y28" s="131"/>
      <c r="Z28" s="131"/>
      <c r="AA28" s="131"/>
      <c r="AB28" s="121"/>
    </row>
    <row r="29" s="38" customFormat="1" spans="1:28">
      <c r="A29" s="68"/>
      <c r="B29" s="68"/>
      <c r="C29" s="68"/>
      <c r="D29" s="68"/>
      <c r="E29" s="68"/>
      <c r="F29" s="68"/>
      <c r="G29" s="68"/>
      <c r="H29" s="76"/>
      <c r="I29" s="68"/>
      <c r="J29" s="69"/>
      <c r="K29" s="91"/>
      <c r="L29" s="104" t="s">
        <v>62</v>
      </c>
      <c r="M29" s="101">
        <v>884</v>
      </c>
      <c r="N29" s="105"/>
      <c r="O29" s="101">
        <f t="shared" si="7"/>
        <v>1094.99</v>
      </c>
      <c r="P29" s="101">
        <v>1094.99</v>
      </c>
      <c r="Q29" s="101"/>
      <c r="R29" s="101"/>
      <c r="S29" s="101"/>
      <c r="T29" s="91">
        <f t="shared" si="15"/>
        <v>0.238676470588235</v>
      </c>
      <c r="U29" s="55"/>
      <c r="V29" s="122"/>
      <c r="W29" s="121"/>
      <c r="X29" s="125"/>
      <c r="Y29" s="131"/>
      <c r="Z29" s="131"/>
      <c r="AA29" s="131"/>
      <c r="AB29" s="121"/>
    </row>
    <row r="30" s="38" customFormat="1" spans="1:28">
      <c r="A30" s="68"/>
      <c r="B30" s="68"/>
      <c r="C30" s="68"/>
      <c r="D30" s="68"/>
      <c r="E30" s="68"/>
      <c r="F30" s="68"/>
      <c r="G30" s="68"/>
      <c r="H30" s="77"/>
      <c r="I30" s="68"/>
      <c r="J30" s="107"/>
      <c r="K30" s="91"/>
      <c r="L30" s="104" t="s">
        <v>178</v>
      </c>
      <c r="M30" s="101">
        <v>131</v>
      </c>
      <c r="N30" s="108"/>
      <c r="O30" s="101">
        <f t="shared" si="7"/>
        <v>0</v>
      </c>
      <c r="P30" s="101"/>
      <c r="Q30" s="101"/>
      <c r="R30" s="101"/>
      <c r="S30" s="101"/>
      <c r="T30" s="91"/>
      <c r="U30" s="55"/>
      <c r="V30" s="122"/>
      <c r="W30" s="121"/>
      <c r="X30" s="125"/>
      <c r="Y30" s="131"/>
      <c r="Z30" s="131"/>
      <c r="AA30" s="131"/>
      <c r="AB30" s="121"/>
    </row>
    <row r="31" s="38" customFormat="1" spans="1:28">
      <c r="A31" s="64" t="s">
        <v>179</v>
      </c>
      <c r="B31" s="65">
        <v>11465</v>
      </c>
      <c r="C31" s="65">
        <v>40914</v>
      </c>
      <c r="D31" s="65">
        <v>38500</v>
      </c>
      <c r="E31" s="65">
        <v>38500</v>
      </c>
      <c r="F31" s="65">
        <f>D31-B31</f>
        <v>27035</v>
      </c>
      <c r="G31" s="66">
        <f>D31/C31-1</f>
        <v>-0.0590018086718482</v>
      </c>
      <c r="H31" s="78">
        <v>13343</v>
      </c>
      <c r="I31" s="65">
        <v>38500</v>
      </c>
      <c r="J31" s="78">
        <v>13283</v>
      </c>
      <c r="K31" s="91">
        <f>(J31-H31)/H31</f>
        <v>-0.00449673986359889</v>
      </c>
      <c r="L31" s="104" t="s">
        <v>180</v>
      </c>
      <c r="M31" s="101">
        <v>5000</v>
      </c>
      <c r="N31" s="55"/>
      <c r="O31" s="101">
        <f t="shared" si="7"/>
        <v>5000</v>
      </c>
      <c r="P31" s="101">
        <v>5000</v>
      </c>
      <c r="Q31" s="101"/>
      <c r="R31" s="101"/>
      <c r="S31" s="101"/>
      <c r="T31" s="91">
        <f>((O31-M31)/M31)</f>
        <v>0</v>
      </c>
      <c r="U31" s="55"/>
      <c r="V31" s="122"/>
      <c r="W31" s="121"/>
      <c r="X31" s="121"/>
      <c r="Y31" s="121"/>
      <c r="Z31" s="121"/>
      <c r="AA31" s="121"/>
      <c r="AB31" s="121"/>
    </row>
    <row r="32" s="38" customFormat="1" ht="15" customHeight="1" spans="1:24">
      <c r="A32" s="79" t="s">
        <v>181</v>
      </c>
      <c r="B32" s="65"/>
      <c r="C32" s="65"/>
      <c r="D32" s="65"/>
      <c r="E32" s="65"/>
      <c r="F32" s="65"/>
      <c r="G32" s="66"/>
      <c r="H32" s="80"/>
      <c r="I32" s="65">
        <v>10152</v>
      </c>
      <c r="J32" s="80"/>
      <c r="K32" s="91"/>
      <c r="L32" s="103" t="s">
        <v>71</v>
      </c>
      <c r="M32" s="103"/>
      <c r="N32" s="105"/>
      <c r="O32" s="109"/>
      <c r="P32" s="101"/>
      <c r="Q32" s="101"/>
      <c r="R32" s="101"/>
      <c r="S32" s="101"/>
      <c r="T32" s="91"/>
      <c r="U32" s="55"/>
      <c r="V32" s="129"/>
      <c r="W32" s="121"/>
      <c r="X32" s="121"/>
    </row>
    <row r="33" s="38" customFormat="1" spans="1:24">
      <c r="A33" s="79" t="s">
        <v>182</v>
      </c>
      <c r="B33" s="65">
        <f>B6+B31</f>
        <v>409391</v>
      </c>
      <c r="C33" s="65">
        <f>C6+C31</f>
        <v>440050</v>
      </c>
      <c r="D33" s="65">
        <f>D6+D31</f>
        <v>463172</v>
      </c>
      <c r="E33" s="65">
        <f>E6+E31</f>
        <v>85970</v>
      </c>
      <c r="F33" s="65">
        <f>D33-B33</f>
        <v>53781</v>
      </c>
      <c r="G33" s="66">
        <f>D33/C33-1</f>
        <v>0.0525440290876036</v>
      </c>
      <c r="H33" s="81">
        <v>30747</v>
      </c>
      <c r="I33" s="72">
        <v>5</v>
      </c>
      <c r="J33" s="81">
        <v>62034</v>
      </c>
      <c r="K33" s="91">
        <f>(J33-H33)/H33</f>
        <v>1.01756268904283</v>
      </c>
      <c r="L33" s="110" t="s">
        <v>74</v>
      </c>
      <c r="M33" s="111"/>
      <c r="N33" s="112"/>
      <c r="O33" s="109">
        <f>J37-O7-O11</f>
        <v>25662.57</v>
      </c>
      <c r="P33" s="101"/>
      <c r="Q33" s="101"/>
      <c r="R33" s="101"/>
      <c r="S33" s="101"/>
      <c r="T33" s="91"/>
      <c r="U33" s="55"/>
      <c r="V33" s="129"/>
      <c r="W33" s="121">
        <v>153033</v>
      </c>
      <c r="X33" s="121"/>
    </row>
    <row r="34" s="38" customFormat="1" spans="1:24">
      <c r="A34" s="79" t="s">
        <v>183</v>
      </c>
      <c r="B34" s="65"/>
      <c r="C34" s="65"/>
      <c r="D34" s="65"/>
      <c r="E34" s="65"/>
      <c r="F34" s="65"/>
      <c r="G34" s="66"/>
      <c r="H34" s="81"/>
      <c r="I34" s="72"/>
      <c r="J34" s="81"/>
      <c r="K34" s="91"/>
      <c r="L34" s="110"/>
      <c r="M34" s="111"/>
      <c r="N34" s="112"/>
      <c r="O34" s="109"/>
      <c r="P34" s="109"/>
      <c r="Q34" s="109"/>
      <c r="R34" s="109"/>
      <c r="S34" s="109"/>
      <c r="T34" s="91"/>
      <c r="U34" s="55"/>
      <c r="V34" s="129"/>
      <c r="W34" s="121"/>
      <c r="X34" s="121"/>
    </row>
    <row r="35" s="38" customFormat="1" spans="1:24">
      <c r="A35" s="79" t="s">
        <v>184</v>
      </c>
      <c r="B35" s="65"/>
      <c r="C35" s="65"/>
      <c r="D35" s="65"/>
      <c r="E35" s="65"/>
      <c r="F35" s="65"/>
      <c r="G35" s="66"/>
      <c r="H35" s="81"/>
      <c r="I35" s="72"/>
      <c r="J35" s="81"/>
      <c r="K35" s="91"/>
      <c r="L35" s="110"/>
      <c r="M35" s="111"/>
      <c r="N35" s="112"/>
      <c r="O35" s="109"/>
      <c r="P35" s="109"/>
      <c r="Q35" s="109"/>
      <c r="R35" s="109"/>
      <c r="S35" s="109"/>
      <c r="T35" s="91"/>
      <c r="U35" s="55"/>
      <c r="V35" s="129"/>
      <c r="W35" s="121"/>
      <c r="X35" s="121"/>
    </row>
    <row r="36" s="38" customFormat="1" spans="1:24">
      <c r="A36" s="79" t="s">
        <v>185</v>
      </c>
      <c r="B36" s="65"/>
      <c r="C36" s="65"/>
      <c r="D36" s="65"/>
      <c r="E36" s="65"/>
      <c r="F36" s="65"/>
      <c r="G36" s="66"/>
      <c r="H36" s="81"/>
      <c r="I36" s="72"/>
      <c r="J36" s="81"/>
      <c r="K36" s="91"/>
      <c r="L36" s="110"/>
      <c r="M36" s="111"/>
      <c r="N36" s="112"/>
      <c r="O36" s="109"/>
      <c r="P36" s="109"/>
      <c r="Q36" s="109"/>
      <c r="R36" s="109"/>
      <c r="S36" s="109"/>
      <c r="T36" s="91"/>
      <c r="U36" s="55"/>
      <c r="V36" s="129"/>
      <c r="W36" s="121"/>
      <c r="X36" s="121"/>
    </row>
    <row r="37" s="38" customFormat="1" spans="1:24">
      <c r="A37" s="64" t="s">
        <v>75</v>
      </c>
      <c r="B37" s="65">
        <v>6</v>
      </c>
      <c r="C37" s="65">
        <v>195</v>
      </c>
      <c r="D37" s="65">
        <v>5</v>
      </c>
      <c r="E37" s="65">
        <v>5</v>
      </c>
      <c r="F37" s="65">
        <f>D37-B37</f>
        <v>-1</v>
      </c>
      <c r="G37" s="66">
        <f>D37/C37-1</f>
        <v>-0.974358974358974</v>
      </c>
      <c r="H37" s="82">
        <f t="shared" ref="H37:J37" si="16">H6+H31+H32+H33+H26+H27+H28+H34+H35+H36</f>
        <v>153033</v>
      </c>
      <c r="I37" s="82">
        <f t="shared" si="16"/>
        <v>96127</v>
      </c>
      <c r="J37" s="82">
        <f t="shared" si="16"/>
        <v>182657</v>
      </c>
      <c r="K37" s="91">
        <f>(J37-H37)/H37</f>
        <v>0.193579162664262</v>
      </c>
      <c r="L37" s="113" t="s">
        <v>76</v>
      </c>
      <c r="M37" s="82">
        <f t="shared" ref="M37:R37" si="17">M6+M7+M11+M32+M33</f>
        <v>153033</v>
      </c>
      <c r="N37" s="71">
        <f t="shared" si="17"/>
        <v>0</v>
      </c>
      <c r="O37" s="71">
        <f t="shared" si="17"/>
        <v>182657</v>
      </c>
      <c r="P37" s="71">
        <f t="shared" si="17"/>
        <v>132002.89</v>
      </c>
      <c r="Q37" s="71">
        <f t="shared" si="17"/>
        <v>2512.53999999998</v>
      </c>
      <c r="R37" s="71">
        <f t="shared" si="17"/>
        <v>1831</v>
      </c>
      <c r="S37" s="71"/>
      <c r="T37" s="91">
        <f>((O37-M37)/M37)</f>
        <v>0.193579162664262</v>
      </c>
      <c r="U37" s="55"/>
      <c r="V37" s="129"/>
      <c r="W37" s="121"/>
      <c r="X37" s="121"/>
    </row>
    <row r="38" s="38" customFormat="1" hidden="1" spans="2:24">
      <c r="B38" s="83"/>
      <c r="C38" s="83"/>
      <c r="D38" s="83"/>
      <c r="E38" s="83"/>
      <c r="F38" s="83"/>
      <c r="G38" s="84"/>
      <c r="H38" s="85"/>
      <c r="I38" s="114"/>
      <c r="J38" s="52"/>
      <c r="K38" s="53" t="s">
        <v>186</v>
      </c>
      <c r="L38" s="38" t="s">
        <v>187</v>
      </c>
      <c r="M38" s="38" t="s">
        <v>188</v>
      </c>
      <c r="N38" s="38"/>
      <c r="O38" s="38"/>
      <c r="P38" s="38">
        <v>248</v>
      </c>
      <c r="Q38" s="38"/>
      <c r="R38" s="38"/>
      <c r="S38" s="38"/>
      <c r="T38" s="54"/>
      <c r="U38" s="55"/>
      <c r="V38" s="122"/>
      <c r="W38" s="121"/>
      <c r="X38" s="121"/>
    </row>
    <row r="39" s="38" customFormat="1" hidden="1" spans="2:24">
      <c r="B39" s="65"/>
      <c r="C39" s="65"/>
      <c r="D39" s="65"/>
      <c r="E39" s="65"/>
      <c r="F39" s="65"/>
      <c r="G39" s="66"/>
      <c r="H39" s="85"/>
      <c r="I39" s="114"/>
      <c r="J39" s="86"/>
      <c r="K39" s="86">
        <f t="shared" ref="K39:M39" si="18">K40+K41</f>
        <v>24281</v>
      </c>
      <c r="L39" s="86">
        <f t="shared" si="18"/>
        <v>6965</v>
      </c>
      <c r="M39" s="86">
        <f t="shared" si="18"/>
        <v>465.68</v>
      </c>
      <c r="N39" s="86"/>
      <c r="O39" s="86">
        <f>J37-O37</f>
        <v>0</v>
      </c>
      <c r="T39" s="54"/>
      <c r="U39" s="55"/>
      <c r="V39" s="122"/>
      <c r="W39" s="121"/>
      <c r="X39" s="121"/>
    </row>
    <row r="40" s="38" customFormat="1" hidden="1" spans="1:24">
      <c r="A40" s="38" t="s">
        <v>189</v>
      </c>
      <c r="B40" s="50"/>
      <c r="C40" s="50"/>
      <c r="D40" s="50"/>
      <c r="E40" s="50"/>
      <c r="F40" s="50"/>
      <c r="G40" s="38"/>
      <c r="H40" s="51"/>
      <c r="I40" s="38"/>
      <c r="J40" s="86" t="s">
        <v>190</v>
      </c>
      <c r="K40" s="86">
        <v>19810</v>
      </c>
      <c r="L40" s="86">
        <v>510</v>
      </c>
      <c r="M40" s="86">
        <v>185.68</v>
      </c>
      <c r="N40" s="86"/>
      <c r="O40" s="86"/>
      <c r="P40" s="38"/>
      <c r="Q40" s="38"/>
      <c r="R40" s="38"/>
      <c r="S40" s="38"/>
      <c r="T40" s="54"/>
      <c r="U40" s="55"/>
      <c r="V40" s="122"/>
      <c r="W40" s="121"/>
      <c r="X40" s="121"/>
    </row>
    <row r="41" s="38" customFormat="1" hidden="1" spans="1:24">
      <c r="A41" s="86">
        <v>19868</v>
      </c>
      <c r="B41" s="50"/>
      <c r="C41" s="50"/>
      <c r="D41" s="50"/>
      <c r="E41" s="50"/>
      <c r="F41" s="50"/>
      <c r="G41" s="38"/>
      <c r="H41" s="51"/>
      <c r="I41" s="38"/>
      <c r="J41" s="86" t="s">
        <v>191</v>
      </c>
      <c r="K41" s="86">
        <v>4471</v>
      </c>
      <c r="L41" s="86">
        <v>6455</v>
      </c>
      <c r="M41" s="86">
        <v>280</v>
      </c>
      <c r="N41" s="86"/>
      <c r="O41" s="86"/>
      <c r="P41" s="38"/>
      <c r="Q41" s="38"/>
      <c r="R41" s="38"/>
      <c r="S41" s="38"/>
      <c r="T41" s="54"/>
      <c r="U41" s="55"/>
      <c r="V41" s="122"/>
      <c r="W41" s="121"/>
      <c r="X41" s="121"/>
    </row>
    <row r="42" s="38" customFormat="1" hidden="1" spans="1:24">
      <c r="A42" s="38">
        <v>10680</v>
      </c>
      <c r="B42" s="50"/>
      <c r="C42" s="50"/>
      <c r="D42" s="50"/>
      <c r="E42" s="50"/>
      <c r="F42" s="50"/>
      <c r="G42" s="38"/>
      <c r="H42" s="51" t="s">
        <v>192</v>
      </c>
      <c r="I42" s="38"/>
      <c r="J42" s="86"/>
      <c r="K42" s="86"/>
      <c r="L42" s="86"/>
      <c r="M42" s="86"/>
      <c r="N42" s="86"/>
      <c r="O42" s="86"/>
      <c r="P42" s="38"/>
      <c r="Q42" s="38"/>
      <c r="R42" s="38"/>
      <c r="S42" s="38"/>
      <c r="T42" s="54"/>
      <c r="U42" s="55"/>
      <c r="V42" s="120"/>
      <c r="W42" s="121"/>
      <c r="X42" s="121"/>
    </row>
    <row r="43" s="38" customFormat="1" hidden="1" spans="1:22">
      <c r="A43" s="38">
        <v>1188</v>
      </c>
      <c r="B43" s="50"/>
      <c r="C43" s="50"/>
      <c r="D43" s="50"/>
      <c r="E43" s="50"/>
      <c r="F43" s="50"/>
      <c r="G43" s="38"/>
      <c r="H43" s="51" t="s">
        <v>193</v>
      </c>
      <c r="I43" s="38"/>
      <c r="J43" s="52"/>
      <c r="K43" s="53"/>
      <c r="L43" s="38"/>
      <c r="M43" s="38"/>
      <c r="N43" s="38"/>
      <c r="O43" s="38">
        <f>O11</f>
        <v>149629.43</v>
      </c>
      <c r="Q43" s="38">
        <f>Q11</f>
        <v>2512.53999999998</v>
      </c>
      <c r="R43" s="38">
        <f>J37-O7-O43-Q43</f>
        <v>23150.0300000001</v>
      </c>
      <c r="T43" s="130">
        <f>O8+R43</f>
        <v>30450.0300000001</v>
      </c>
      <c r="U43" s="55"/>
      <c r="V43" s="50"/>
    </row>
    <row r="44" s="38" customFormat="1" hidden="1" spans="1:22">
      <c r="A44" s="38">
        <v>8000</v>
      </c>
      <c r="B44" s="50"/>
      <c r="C44" s="50"/>
      <c r="D44" s="50"/>
      <c r="E44" s="50"/>
      <c r="F44" s="50"/>
      <c r="G44" s="38"/>
      <c r="H44" s="51" t="s">
        <v>194</v>
      </c>
      <c r="I44" s="38"/>
      <c r="J44" s="52"/>
      <c r="K44" s="53"/>
      <c r="L44" s="38"/>
      <c r="M44" s="38"/>
      <c r="N44" s="38"/>
      <c r="O44" s="38"/>
      <c r="P44" s="38"/>
      <c r="Q44" s="38"/>
      <c r="R44" s="38"/>
      <c r="S44" s="38"/>
      <c r="T44" s="54"/>
      <c r="U44" s="55"/>
      <c r="V44" s="50"/>
    </row>
    <row r="45" s="38" customFormat="1" hidden="1" spans="2:22">
      <c r="B45" s="50"/>
      <c r="C45" s="50"/>
      <c r="D45" s="50"/>
      <c r="E45" s="50"/>
      <c r="F45" s="50"/>
      <c r="G45" s="38"/>
      <c r="H45" s="51"/>
      <c r="I45" s="38"/>
      <c r="J45" s="52"/>
      <c r="K45" s="53"/>
      <c r="L45" s="38">
        <f>J6*1.03</f>
        <v>58278.43</v>
      </c>
      <c r="T45" s="54"/>
      <c r="U45" s="55"/>
      <c r="V45" s="50"/>
    </row>
    <row r="46" s="38" customFormat="1" hidden="1" spans="2:22">
      <c r="B46" s="50"/>
      <c r="C46" s="50"/>
      <c r="D46" s="50"/>
      <c r="E46" s="50"/>
      <c r="F46" s="50"/>
      <c r="G46" s="38"/>
      <c r="H46" s="51"/>
      <c r="I46" s="38"/>
      <c r="J46" s="52"/>
      <c r="K46" s="53"/>
      <c r="L46" s="38">
        <f>L45*1.03</f>
        <v>60026.7829</v>
      </c>
      <c r="O46" s="38">
        <f>J37-O37</f>
        <v>0</v>
      </c>
      <c r="T46" s="54"/>
      <c r="U46" s="55"/>
      <c r="V46" s="50"/>
    </row>
    <row r="47" s="38" customFormat="1" hidden="1" spans="2:22">
      <c r="B47" s="50"/>
      <c r="C47" s="50"/>
      <c r="D47" s="50"/>
      <c r="E47" s="50"/>
      <c r="F47" s="50"/>
      <c r="G47" s="38"/>
      <c r="H47" s="51"/>
      <c r="I47" s="38"/>
      <c r="J47" s="52"/>
      <c r="K47" s="53"/>
      <c r="L47" s="38"/>
      <c r="M47" s="38"/>
      <c r="N47" s="38"/>
      <c r="O47" s="38"/>
      <c r="P47" s="38"/>
      <c r="Q47" s="38"/>
      <c r="R47" s="38"/>
      <c r="S47" s="38"/>
      <c r="T47" s="54"/>
      <c r="U47" s="55"/>
      <c r="V47" s="50"/>
    </row>
    <row r="48" s="38" customFormat="1" hidden="1" spans="2:22">
      <c r="B48" s="50"/>
      <c r="C48" s="50"/>
      <c r="D48" s="50"/>
      <c r="E48" s="50"/>
      <c r="F48" s="50"/>
      <c r="G48" s="38"/>
      <c r="H48" s="51">
        <f t="shared" ref="H48:J48" si="19">H6+H26+H27+H28</f>
        <v>108943</v>
      </c>
      <c r="I48" s="51">
        <f t="shared" si="19"/>
        <v>47470</v>
      </c>
      <c r="J48" s="51">
        <f t="shared" si="19"/>
        <v>107340</v>
      </c>
      <c r="K48" s="91">
        <f>(J48-H48)/H48</f>
        <v>-0.0147141165563643</v>
      </c>
      <c r="T48" s="54"/>
      <c r="U48" s="55"/>
      <c r="V48" s="50"/>
    </row>
    <row r="49" s="38" customFormat="1" hidden="1" spans="2:22">
      <c r="B49" s="50"/>
      <c r="C49" s="50"/>
      <c r="D49" s="50"/>
      <c r="E49" s="50"/>
      <c r="F49" s="50"/>
      <c r="G49" s="38"/>
      <c r="H49" s="51"/>
      <c r="I49" s="38"/>
      <c r="J49" s="115">
        <f>J48-H48</f>
        <v>-1603</v>
      </c>
      <c r="K49" s="53"/>
      <c r="L49" s="38"/>
      <c r="M49" s="38"/>
      <c r="N49" s="38"/>
      <c r="O49" s="38"/>
      <c r="P49" s="38"/>
      <c r="Q49" s="38"/>
      <c r="R49" s="38"/>
      <c r="S49" s="38"/>
      <c r="T49" s="54"/>
      <c r="U49" s="55"/>
      <c r="V49" s="50"/>
    </row>
  </sheetData>
  <mergeCells count="15">
    <mergeCell ref="A2:T2"/>
    <mergeCell ref="O3:T3"/>
    <mergeCell ref="B4:C4"/>
    <mergeCell ref="D4:G4"/>
    <mergeCell ref="A4:A5"/>
    <mergeCell ref="H4:H5"/>
    <mergeCell ref="I4:I5"/>
    <mergeCell ref="J4:J5"/>
    <mergeCell ref="K4:K5"/>
    <mergeCell ref="L4:L5"/>
    <mergeCell ref="M4:M5"/>
    <mergeCell ref="N4:N5"/>
    <mergeCell ref="O4:O5"/>
    <mergeCell ref="T4:T5"/>
    <mergeCell ref="V2:AF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A1" sqref="$A1:$XFD1048576"/>
    </sheetView>
  </sheetViews>
  <sheetFormatPr defaultColWidth="9" defaultRowHeight="14.4"/>
  <cols>
    <col min="1" max="1" width="31.25" style="38" customWidth="1"/>
    <col min="2" max="2" width="10.3796296296296" style="38" customWidth="1"/>
    <col min="3" max="3" width="10.6296296296296" style="38" customWidth="1"/>
    <col min="4" max="4" width="11.3796296296296" style="38" customWidth="1"/>
    <col min="5" max="5" width="31.25" style="38" customWidth="1"/>
    <col min="6" max="6" width="12" style="38" customWidth="1"/>
    <col min="7" max="8" width="11.5" style="38" customWidth="1"/>
    <col min="9" max="16384" width="9" style="38"/>
  </cols>
  <sheetData>
    <row r="1" s="38" customFormat="1" spans="1:1">
      <c r="A1" s="39" t="s">
        <v>195</v>
      </c>
    </row>
    <row r="2" s="38" customFormat="1" ht="22.2" spans="1:8">
      <c r="A2" s="40" t="s">
        <v>196</v>
      </c>
      <c r="B2" s="40"/>
      <c r="C2" s="40"/>
      <c r="D2" s="40"/>
      <c r="E2" s="40"/>
      <c r="F2" s="40"/>
      <c r="G2" s="40"/>
      <c r="H2" s="40"/>
    </row>
    <row r="3" s="38" customFormat="1" spans="1:8">
      <c r="A3" s="41"/>
      <c r="B3" s="41"/>
      <c r="C3" s="41"/>
      <c r="D3" s="41"/>
      <c r="E3" s="41"/>
      <c r="F3" s="41"/>
      <c r="G3" s="41"/>
      <c r="H3" s="41"/>
    </row>
    <row r="4" s="38" customFormat="1" spans="1:8">
      <c r="A4" s="49" t="s">
        <v>2</v>
      </c>
      <c r="B4" s="49"/>
      <c r="C4" s="49"/>
      <c r="D4" s="49"/>
      <c r="E4" s="49"/>
      <c r="F4" s="49"/>
      <c r="G4" s="49"/>
      <c r="H4" s="49"/>
    </row>
    <row r="5" s="38" customFormat="1" ht="36" spans="1:8">
      <c r="A5" s="44" t="s">
        <v>79</v>
      </c>
      <c r="B5" s="44" t="s">
        <v>197</v>
      </c>
      <c r="C5" s="44" t="s">
        <v>198</v>
      </c>
      <c r="D5" s="44" t="s">
        <v>10</v>
      </c>
      <c r="E5" s="44" t="s">
        <v>79</v>
      </c>
      <c r="F5" s="44" t="s">
        <v>199</v>
      </c>
      <c r="G5" s="44" t="s">
        <v>200</v>
      </c>
      <c r="H5" s="44" t="s">
        <v>10</v>
      </c>
    </row>
    <row r="6" s="38" customFormat="1" spans="1:8">
      <c r="A6" s="45" t="s">
        <v>84</v>
      </c>
      <c r="B6" s="45">
        <v>384</v>
      </c>
      <c r="C6" s="45">
        <v>810</v>
      </c>
      <c r="D6" s="47">
        <f>(C6-B6)/B6</f>
        <v>1.109375</v>
      </c>
      <c r="E6" s="45" t="s">
        <v>85</v>
      </c>
      <c r="F6" s="45">
        <v>11429</v>
      </c>
      <c r="G6" s="45">
        <v>11137</v>
      </c>
      <c r="H6" s="47">
        <f>(G6-F6)/F6</f>
        <v>-0.0255490419109283</v>
      </c>
    </row>
    <row r="7" s="38" customFormat="1" spans="1:8">
      <c r="A7" s="45" t="s">
        <v>86</v>
      </c>
      <c r="B7" s="45"/>
      <c r="C7" s="45"/>
      <c r="D7" s="45"/>
      <c r="E7" s="45" t="s">
        <v>87</v>
      </c>
      <c r="F7" s="45"/>
      <c r="G7" s="45"/>
      <c r="H7" s="45"/>
    </row>
    <row r="8" s="38" customFormat="1" spans="1:8">
      <c r="A8" s="45" t="s">
        <v>88</v>
      </c>
      <c r="B8" s="45"/>
      <c r="C8" s="45"/>
      <c r="D8" s="45"/>
      <c r="E8" s="45" t="s">
        <v>89</v>
      </c>
      <c r="F8" s="45"/>
      <c r="G8" s="45"/>
      <c r="H8" s="45"/>
    </row>
    <row r="9" s="38" customFormat="1" spans="1:8">
      <c r="A9" s="45" t="s">
        <v>90</v>
      </c>
      <c r="B9" s="45"/>
      <c r="C9" s="45"/>
      <c r="D9" s="45"/>
      <c r="E9" s="45" t="s">
        <v>90</v>
      </c>
      <c r="F9" s="45"/>
      <c r="G9" s="45"/>
      <c r="H9" s="45"/>
    </row>
    <row r="10" s="38" customFormat="1" spans="1:8">
      <c r="A10" s="45" t="s">
        <v>91</v>
      </c>
      <c r="B10" s="45"/>
      <c r="C10" s="45"/>
      <c r="D10" s="45"/>
      <c r="E10" s="45" t="s">
        <v>91</v>
      </c>
      <c r="F10" s="45"/>
      <c r="G10" s="45"/>
      <c r="H10" s="45"/>
    </row>
    <row r="11" s="38" customFormat="1" spans="1:8">
      <c r="A11" s="45" t="s">
        <v>92</v>
      </c>
      <c r="B11" s="45"/>
      <c r="C11" s="45"/>
      <c r="D11" s="45"/>
      <c r="E11" s="45" t="s">
        <v>92</v>
      </c>
      <c r="F11" s="45"/>
      <c r="G11" s="45"/>
      <c r="H11" s="45"/>
    </row>
    <row r="12" s="38" customFormat="1" spans="1:8">
      <c r="A12" s="45" t="s">
        <v>93</v>
      </c>
      <c r="B12" s="45"/>
      <c r="C12" s="45"/>
      <c r="D12" s="45"/>
      <c r="E12" s="45" t="s">
        <v>93</v>
      </c>
      <c r="F12" s="45"/>
      <c r="G12" s="45"/>
      <c r="H12" s="45"/>
    </row>
    <row r="13" s="38" customFormat="1" spans="1:8">
      <c r="A13" s="45" t="s">
        <v>94</v>
      </c>
      <c r="B13" s="45"/>
      <c r="C13" s="45"/>
      <c r="D13" s="45"/>
      <c r="E13" s="45" t="s">
        <v>94</v>
      </c>
      <c r="F13" s="45"/>
      <c r="G13" s="45"/>
      <c r="H13" s="45"/>
    </row>
    <row r="14" s="38" customFormat="1" spans="1:8">
      <c r="A14" s="45" t="s">
        <v>95</v>
      </c>
      <c r="B14" s="45"/>
      <c r="C14" s="45"/>
      <c r="D14" s="45"/>
      <c r="E14" s="45" t="s">
        <v>95</v>
      </c>
      <c r="F14" s="45"/>
      <c r="G14" s="45"/>
      <c r="H14" s="45"/>
    </row>
    <row r="15" s="38" customFormat="1" spans="1:8">
      <c r="A15" s="45" t="s">
        <v>96</v>
      </c>
      <c r="B15" s="45"/>
      <c r="C15" s="45"/>
      <c r="D15" s="45"/>
      <c r="E15" s="45" t="s">
        <v>96</v>
      </c>
      <c r="F15" s="45"/>
      <c r="G15" s="45"/>
      <c r="H15" s="45"/>
    </row>
    <row r="16" s="38" customFormat="1" spans="1:8">
      <c r="A16" s="45" t="s">
        <v>97</v>
      </c>
      <c r="B16" s="45"/>
      <c r="C16" s="45"/>
      <c r="D16" s="45"/>
      <c r="E16" s="45" t="s">
        <v>97</v>
      </c>
      <c r="F16" s="45"/>
      <c r="G16" s="45"/>
      <c r="H16" s="45"/>
    </row>
    <row r="17" s="38" customFormat="1" spans="1:8">
      <c r="A17" s="45" t="s">
        <v>98</v>
      </c>
      <c r="B17" s="45"/>
      <c r="C17" s="45"/>
      <c r="D17" s="45"/>
      <c r="E17" s="45" t="s">
        <v>99</v>
      </c>
      <c r="F17" s="45"/>
      <c r="G17" s="45"/>
      <c r="H17" s="45"/>
    </row>
    <row r="18" s="38" customFormat="1" spans="1:8">
      <c r="A18" s="45" t="s">
        <v>100</v>
      </c>
      <c r="B18" s="45"/>
      <c r="C18" s="45"/>
      <c r="D18" s="45"/>
      <c r="E18" s="45" t="s">
        <v>101</v>
      </c>
      <c r="F18" s="45"/>
      <c r="G18" s="45"/>
      <c r="H18" s="45"/>
    </row>
    <row r="19" s="38" customFormat="1" spans="1:8">
      <c r="A19" s="45" t="s">
        <v>102</v>
      </c>
      <c r="B19" s="45"/>
      <c r="C19" s="45"/>
      <c r="D19" s="45"/>
      <c r="E19" s="45"/>
      <c r="F19" s="45"/>
      <c r="G19" s="45"/>
      <c r="H19" s="45"/>
    </row>
    <row r="20" s="38" customFormat="1" spans="1:8">
      <c r="A20" s="45" t="s">
        <v>103</v>
      </c>
      <c r="B20" s="45"/>
      <c r="C20" s="45"/>
      <c r="D20" s="45"/>
      <c r="E20" s="45"/>
      <c r="F20" s="45"/>
      <c r="G20" s="45"/>
      <c r="H20" s="45"/>
    </row>
    <row r="21" s="38" customFormat="1" spans="1:8">
      <c r="A21" s="45" t="s">
        <v>104</v>
      </c>
      <c r="B21" s="45"/>
      <c r="C21" s="45"/>
      <c r="D21" s="45"/>
      <c r="E21" s="45" t="s">
        <v>105</v>
      </c>
      <c r="F21" s="45"/>
      <c r="G21" s="45"/>
      <c r="H21" s="45"/>
    </row>
    <row r="22" s="38" customFormat="1" spans="1:8">
      <c r="A22" s="45" t="s">
        <v>106</v>
      </c>
      <c r="B22" s="45"/>
      <c r="C22" s="45"/>
      <c r="D22" s="45"/>
      <c r="E22" s="45"/>
      <c r="F22" s="45"/>
      <c r="G22" s="45"/>
      <c r="H22" s="45"/>
    </row>
    <row r="23" s="38" customFormat="1" spans="1:8">
      <c r="A23" s="45" t="s">
        <v>107</v>
      </c>
      <c r="B23" s="45"/>
      <c r="C23" s="45"/>
      <c r="D23" s="45"/>
      <c r="E23" s="45"/>
      <c r="F23" s="45"/>
      <c r="G23" s="45"/>
      <c r="H23" s="45"/>
    </row>
    <row r="24" s="38" customFormat="1" spans="1:8">
      <c r="A24" s="45" t="s">
        <v>108</v>
      </c>
      <c r="B24" s="45"/>
      <c r="C24" s="45"/>
      <c r="D24" s="45"/>
      <c r="E24" s="45" t="s">
        <v>109</v>
      </c>
      <c r="F24" s="45"/>
      <c r="G24" s="45"/>
      <c r="H24" s="45"/>
    </row>
    <row r="25" s="38" customFormat="1" spans="1:8">
      <c r="A25" s="45" t="s">
        <v>110</v>
      </c>
      <c r="B25" s="45"/>
      <c r="C25" s="45"/>
      <c r="D25" s="45"/>
      <c r="E25" s="45" t="s">
        <v>111</v>
      </c>
      <c r="F25" s="45"/>
      <c r="G25" s="45"/>
      <c r="H25" s="45"/>
    </row>
    <row r="26" s="38" customFormat="1" spans="1:8">
      <c r="A26" s="45" t="s">
        <v>112</v>
      </c>
      <c r="B26" s="45"/>
      <c r="C26" s="45"/>
      <c r="D26" s="45"/>
      <c r="E26" s="45" t="s">
        <v>113</v>
      </c>
      <c r="F26" s="45"/>
      <c r="G26" s="45"/>
      <c r="H26" s="45"/>
    </row>
    <row r="27" s="38" customFormat="1" spans="1:8">
      <c r="A27" s="45" t="s">
        <v>114</v>
      </c>
      <c r="B27" s="45"/>
      <c r="C27" s="45"/>
      <c r="D27" s="45"/>
      <c r="E27" s="45" t="s">
        <v>115</v>
      </c>
      <c r="F27" s="45"/>
      <c r="G27" s="45"/>
      <c r="H27" s="45"/>
    </row>
    <row r="28" s="38" customFormat="1" spans="1:8">
      <c r="A28" s="45" t="s">
        <v>116</v>
      </c>
      <c r="B28" s="45"/>
      <c r="C28" s="45"/>
      <c r="D28" s="45"/>
      <c r="E28" s="45"/>
      <c r="F28" s="45"/>
      <c r="G28" s="45"/>
      <c r="H28" s="45"/>
    </row>
    <row r="29" s="38" customFormat="1" spans="1:8">
      <c r="A29" s="45" t="s">
        <v>117</v>
      </c>
      <c r="B29" s="45"/>
      <c r="C29" s="45"/>
      <c r="D29" s="45"/>
      <c r="E29" s="45" t="s">
        <v>118</v>
      </c>
      <c r="F29" s="45"/>
      <c r="G29" s="45"/>
      <c r="H29" s="45"/>
    </row>
    <row r="30" s="38" customFormat="1" spans="1:8">
      <c r="A30" s="45" t="s">
        <v>119</v>
      </c>
      <c r="B30" s="45"/>
      <c r="C30" s="45"/>
      <c r="D30" s="45"/>
      <c r="E30" s="45" t="s">
        <v>120</v>
      </c>
      <c r="F30" s="45"/>
      <c r="G30" s="45"/>
      <c r="H30" s="45"/>
    </row>
    <row r="31" s="38" customFormat="1" spans="1:8">
      <c r="A31" s="45" t="s">
        <v>121</v>
      </c>
      <c r="B31" s="45">
        <v>11045</v>
      </c>
      <c r="C31" s="45">
        <v>10327</v>
      </c>
      <c r="D31" s="47">
        <f>(C31-B31)/B31</f>
        <v>-0.0650067904028972</v>
      </c>
      <c r="E31" s="45" t="s">
        <v>122</v>
      </c>
      <c r="F31" s="45"/>
      <c r="G31" s="45"/>
      <c r="H31" s="45"/>
    </row>
    <row r="32" s="38" customFormat="1" spans="1:8">
      <c r="A32" s="45"/>
      <c r="B32" s="45"/>
      <c r="C32" s="45"/>
      <c r="D32" s="45"/>
      <c r="E32" s="45" t="s">
        <v>123</v>
      </c>
      <c r="F32" s="45">
        <f>B6+B31-F6</f>
        <v>0</v>
      </c>
      <c r="G32" s="45">
        <f>C6+C31-G6</f>
        <v>0</v>
      </c>
      <c r="H32" s="45"/>
    </row>
    <row r="33" s="38" customFormat="1" spans="1:13">
      <c r="A33" s="43" t="s">
        <v>124</v>
      </c>
      <c r="B33" s="46">
        <f>B6+B7+B31</f>
        <v>11429</v>
      </c>
      <c r="C33" s="46">
        <f>C6+C7+C31</f>
        <v>11137</v>
      </c>
      <c r="D33" s="47">
        <f>(C33-B33)/B33</f>
        <v>-0.0255490419109283</v>
      </c>
      <c r="E33" s="43" t="s">
        <v>125</v>
      </c>
      <c r="F33" s="46">
        <f>F32+F6</f>
        <v>11429</v>
      </c>
      <c r="G33" s="46">
        <f>G32+G6</f>
        <v>11137</v>
      </c>
      <c r="H33" s="47">
        <f>(G33-F33)/F33</f>
        <v>-0.0255490419109283</v>
      </c>
      <c r="M33" s="38" t="s">
        <v>126</v>
      </c>
    </row>
    <row r="59" s="38" customFormat="1" spans="13:13">
      <c r="M59" s="38">
        <f>++++++N32</f>
        <v>0</v>
      </c>
    </row>
  </sheetData>
  <mergeCells count="3">
    <mergeCell ref="A2:H2"/>
    <mergeCell ref="A3:G3"/>
    <mergeCell ref="A4:H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4.4" outlineLevelCol="7"/>
  <cols>
    <col min="1" max="1" width="31.8796296296296" style="38" customWidth="1"/>
    <col min="2" max="4" width="14.1296296296296" style="38" customWidth="1"/>
    <col min="5" max="5" width="31.8796296296296" style="38" customWidth="1"/>
    <col min="6" max="6" width="15" style="38" customWidth="1"/>
    <col min="7" max="7" width="15.1296296296296" style="38" customWidth="1"/>
    <col min="8" max="8" width="15" style="38" customWidth="1"/>
    <col min="9" max="16384" width="9" style="38"/>
  </cols>
  <sheetData>
    <row r="1" s="38" customFormat="1" ht="27" customHeight="1" spans="1:1">
      <c r="A1" s="39" t="s">
        <v>201</v>
      </c>
    </row>
    <row r="2" s="38" customFormat="1" ht="27" customHeight="1" spans="1:7">
      <c r="A2" s="40" t="s">
        <v>202</v>
      </c>
      <c r="B2" s="40"/>
      <c r="C2" s="40"/>
      <c r="D2" s="40"/>
      <c r="E2" s="40"/>
      <c r="F2" s="40"/>
      <c r="G2" s="40"/>
    </row>
    <row r="3" s="38" customFormat="1" ht="27" customHeight="1" spans="1:7">
      <c r="A3" s="41"/>
      <c r="B3" s="41"/>
      <c r="C3" s="41"/>
      <c r="D3" s="41"/>
      <c r="E3" s="41"/>
      <c r="F3" s="41"/>
      <c r="G3" s="41"/>
    </row>
    <row r="4" s="38" customFormat="1" ht="27" customHeight="1" spans="1:8">
      <c r="A4" s="41"/>
      <c r="B4" s="41"/>
      <c r="C4" s="41"/>
      <c r="D4" s="41"/>
      <c r="E4" s="41"/>
      <c r="F4" s="41"/>
      <c r="G4" s="41"/>
      <c r="H4" s="42" t="s">
        <v>2</v>
      </c>
    </row>
    <row r="5" s="38" customFormat="1" ht="27" customHeight="1" spans="1:8">
      <c r="A5" s="43" t="s">
        <v>79</v>
      </c>
      <c r="B5" s="44" t="s">
        <v>197</v>
      </c>
      <c r="C5" s="44" t="s">
        <v>198</v>
      </c>
      <c r="D5" s="44" t="s">
        <v>10</v>
      </c>
      <c r="E5" s="43" t="s">
        <v>79</v>
      </c>
      <c r="F5" s="44" t="s">
        <v>199</v>
      </c>
      <c r="G5" s="44" t="s">
        <v>200</v>
      </c>
      <c r="H5" s="44" t="s">
        <v>10</v>
      </c>
    </row>
    <row r="6" s="38" customFormat="1" ht="27" customHeight="1" spans="1:8">
      <c r="A6" s="45" t="s">
        <v>129</v>
      </c>
      <c r="B6" s="45"/>
      <c r="C6" s="46"/>
      <c r="D6" s="46"/>
      <c r="E6" s="45" t="s">
        <v>130</v>
      </c>
      <c r="F6" s="46">
        <v>308</v>
      </c>
      <c r="G6" s="46">
        <v>256</v>
      </c>
      <c r="H6" s="47">
        <f>(G6-F6)/F6</f>
        <v>-0.168831168831169</v>
      </c>
    </row>
    <row r="7" s="38" customFormat="1" ht="27" customHeight="1" spans="1:8">
      <c r="A7" s="45" t="s">
        <v>131</v>
      </c>
      <c r="B7" s="45"/>
      <c r="C7" s="46"/>
      <c r="D7" s="46"/>
      <c r="E7" s="45" t="s">
        <v>132</v>
      </c>
      <c r="F7" s="45"/>
      <c r="G7" s="46">
        <v>0</v>
      </c>
      <c r="H7" s="48"/>
    </row>
    <row r="8" s="38" customFormat="1" ht="27" customHeight="1" spans="1:8">
      <c r="A8" s="45" t="s">
        <v>133</v>
      </c>
      <c r="B8" s="45">
        <v>0</v>
      </c>
      <c r="C8" s="46">
        <v>0</v>
      </c>
      <c r="D8" s="46"/>
      <c r="E8" s="45" t="s">
        <v>134</v>
      </c>
      <c r="F8" s="45"/>
      <c r="G8" s="46">
        <v>0</v>
      </c>
      <c r="H8" s="48"/>
    </row>
    <row r="9" s="38" customFormat="1" ht="27" customHeight="1" spans="1:8">
      <c r="A9" s="45" t="s">
        <v>135</v>
      </c>
      <c r="B9" s="46">
        <v>308</v>
      </c>
      <c r="C9" s="46">
        <v>256</v>
      </c>
      <c r="D9" s="47">
        <f>(C9-B9)/B9</f>
        <v>-0.168831168831169</v>
      </c>
      <c r="E9" s="45" t="s">
        <v>136</v>
      </c>
      <c r="F9" s="45"/>
      <c r="G9" s="46"/>
      <c r="H9" s="48"/>
    </row>
    <row r="10" s="38" customFormat="1" ht="27" customHeight="1" spans="1:8">
      <c r="A10" s="45" t="s">
        <v>137</v>
      </c>
      <c r="B10" s="45"/>
      <c r="C10" s="46">
        <v>0</v>
      </c>
      <c r="D10" s="46"/>
      <c r="E10" s="45" t="s">
        <v>138</v>
      </c>
      <c r="F10" s="45"/>
      <c r="G10" s="46">
        <v>0</v>
      </c>
      <c r="H10" s="48"/>
    </row>
    <row r="11" s="38" customFormat="1" ht="27" customHeight="1" spans="1:8">
      <c r="A11" s="45" t="s">
        <v>139</v>
      </c>
      <c r="B11" s="45"/>
      <c r="C11" s="46">
        <v>0</v>
      </c>
      <c r="D11" s="46"/>
      <c r="E11" s="45" t="s">
        <v>140</v>
      </c>
      <c r="F11" s="45"/>
      <c r="G11" s="46">
        <v>0</v>
      </c>
      <c r="H11" s="48"/>
    </row>
    <row r="12" s="38" customFormat="1" ht="27" customHeight="1" spans="1:8">
      <c r="A12" s="45"/>
      <c r="B12" s="45"/>
      <c r="C12" s="46">
        <v>0</v>
      </c>
      <c r="D12" s="46"/>
      <c r="E12" s="45" t="s">
        <v>141</v>
      </c>
      <c r="F12" s="45"/>
      <c r="G12" s="46">
        <f>C13-SUM(G6:G11)</f>
        <v>0</v>
      </c>
      <c r="H12" s="48"/>
    </row>
    <row r="13" s="38" customFormat="1" ht="27" customHeight="1" spans="1:8">
      <c r="A13" s="43" t="s">
        <v>142</v>
      </c>
      <c r="B13" s="46">
        <f>B12+B6+B7+B8+B9+B10+B11</f>
        <v>308</v>
      </c>
      <c r="C13" s="46">
        <f>C12+C6+C7+C8+C9+C10+C11</f>
        <v>256</v>
      </c>
      <c r="D13" s="47">
        <f>(C13-B13)/B13</f>
        <v>-0.168831168831169</v>
      </c>
      <c r="E13" s="43" t="s">
        <v>143</v>
      </c>
      <c r="F13" s="46">
        <f>SUM(F6:F12)</f>
        <v>308</v>
      </c>
      <c r="G13" s="46">
        <f>SUM(G6:G12)</f>
        <v>256</v>
      </c>
      <c r="H13" s="47">
        <f>(G13-F13)/F13</f>
        <v>-0.168831168831169</v>
      </c>
    </row>
  </sheetData>
  <mergeCells count="3">
    <mergeCell ref="A2:G2"/>
    <mergeCell ref="A3:G3"/>
    <mergeCell ref="A4:G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$A1:$XFD1048576"/>
    </sheetView>
  </sheetViews>
  <sheetFormatPr defaultColWidth="9" defaultRowHeight="14.4"/>
  <cols>
    <col min="1" max="1" width="39.6296296296296" style="1" customWidth="1"/>
    <col min="2" max="2" width="15.6296296296296" style="1" customWidth="1"/>
    <col min="3" max="3" width="13.3796296296296" style="1" customWidth="1"/>
    <col min="4" max="4" width="16.5" style="2" customWidth="1"/>
    <col min="5" max="6" width="12.25" style="1" customWidth="1"/>
    <col min="7" max="7" width="12.25" style="2" customWidth="1"/>
    <col min="8" max="8" width="12.25" style="1" customWidth="1"/>
    <col min="9" max="10" width="12.6296296296296" style="1"/>
    <col min="11" max="16384" width="9" style="1"/>
  </cols>
  <sheetData>
    <row r="1" s="1" customFormat="1" spans="1:7">
      <c r="A1" s="1" t="s">
        <v>203</v>
      </c>
      <c r="B1" s="1"/>
      <c r="C1" s="1"/>
      <c r="D1" s="2"/>
      <c r="E1" s="1"/>
      <c r="F1" s="1"/>
      <c r="G1" s="2"/>
    </row>
    <row r="2" s="1" customFormat="1" ht="25.8" spans="1:8">
      <c r="A2" s="3" t="s">
        <v>204</v>
      </c>
      <c r="B2" s="4"/>
      <c r="C2" s="5"/>
      <c r="D2" s="6"/>
      <c r="E2" s="4"/>
      <c r="F2" s="4"/>
      <c r="G2" s="6"/>
      <c r="H2" s="4"/>
    </row>
    <row r="3" s="1" customFormat="1" ht="15.6" spans="1:8">
      <c r="A3" s="7"/>
      <c r="B3" s="7"/>
      <c r="C3" s="8"/>
      <c r="D3" s="9"/>
      <c r="E3" s="7"/>
      <c r="F3" s="7"/>
      <c r="G3" s="9"/>
      <c r="H3" s="10"/>
    </row>
    <row r="4" s="1" customFormat="1" ht="15.6" spans="1:8">
      <c r="A4" s="11"/>
      <c r="B4" s="11"/>
      <c r="C4" s="12"/>
      <c r="D4" s="13"/>
      <c r="E4" s="11"/>
      <c r="F4" s="11"/>
      <c r="G4" s="13"/>
      <c r="H4" s="14" t="s">
        <v>2</v>
      </c>
    </row>
    <row r="5" s="1" customFormat="1" ht="34" customHeight="1" spans="1:8">
      <c r="A5" s="15"/>
      <c r="B5" s="16" t="s">
        <v>205</v>
      </c>
      <c r="C5" s="16"/>
      <c r="D5" s="17"/>
      <c r="E5" s="18" t="s">
        <v>206</v>
      </c>
      <c r="F5" s="19"/>
      <c r="G5" s="20"/>
      <c r="H5" s="21" t="s">
        <v>10</v>
      </c>
    </row>
    <row r="6" s="1" customFormat="1" ht="62.4" spans="1:8">
      <c r="A6" s="22" t="s">
        <v>207</v>
      </c>
      <c r="B6" s="23" t="s">
        <v>208</v>
      </c>
      <c r="C6" s="24" t="s">
        <v>209</v>
      </c>
      <c r="D6" s="25" t="s">
        <v>210</v>
      </c>
      <c r="E6" s="23" t="s">
        <v>208</v>
      </c>
      <c r="F6" s="24" t="s">
        <v>209</v>
      </c>
      <c r="G6" s="25" t="s">
        <v>210</v>
      </c>
      <c r="H6" s="26"/>
    </row>
    <row r="7" s="1" customFormat="1" ht="15.6" spans="1:10">
      <c r="A7" s="27" t="s">
        <v>146</v>
      </c>
      <c r="B7" s="28">
        <f t="shared" ref="B7:B23" si="0">C7+D7</f>
        <v>20001.457184</v>
      </c>
      <c r="C7" s="29">
        <f t="shared" ref="C7:G7" si="1">SUM(C8:C15)</f>
        <v>4688.158</v>
      </c>
      <c r="D7" s="30">
        <f t="shared" si="1"/>
        <v>15313.299184</v>
      </c>
      <c r="E7" s="28">
        <f t="shared" ref="E7:E13" si="2">F7+G7</f>
        <v>20643.3494</v>
      </c>
      <c r="F7" s="29">
        <f t="shared" si="1"/>
        <v>5005.7494</v>
      </c>
      <c r="G7" s="30">
        <f t="shared" si="1"/>
        <v>15637.6</v>
      </c>
      <c r="H7" s="31">
        <f t="shared" ref="H7:H12" si="3">(E7-B7)/B7</f>
        <v>0.0320922725826935</v>
      </c>
      <c r="I7" s="37"/>
      <c r="J7" s="37"/>
    </row>
    <row r="8" s="1" customFormat="1" ht="15.6" spans="1:10">
      <c r="A8" s="32" t="s">
        <v>211</v>
      </c>
      <c r="B8" s="33">
        <f t="shared" si="0"/>
        <v>10473.33</v>
      </c>
      <c r="C8" s="33">
        <v>2213.33</v>
      </c>
      <c r="D8" s="34">
        <v>8260</v>
      </c>
      <c r="E8" s="33">
        <f t="shared" si="2"/>
        <v>10927.37</v>
      </c>
      <c r="F8" s="34">
        <v>2159.37</v>
      </c>
      <c r="G8" s="34">
        <v>8768</v>
      </c>
      <c r="H8" s="31">
        <f t="shared" si="3"/>
        <v>0.043352018889885</v>
      </c>
      <c r="I8" s="37"/>
      <c r="J8" s="37"/>
    </row>
    <row r="9" s="1" customFormat="1" ht="15.6" spans="1:10">
      <c r="A9" s="32" t="s">
        <v>212</v>
      </c>
      <c r="B9" s="33">
        <f t="shared" si="0"/>
        <v>9204.538</v>
      </c>
      <c r="C9" s="33">
        <v>2314.538</v>
      </c>
      <c r="D9" s="34">
        <v>6890</v>
      </c>
      <c r="E9" s="33">
        <f t="shared" si="2"/>
        <v>9280.1394</v>
      </c>
      <c r="F9" s="34">
        <v>2680.1394</v>
      </c>
      <c r="G9" s="34">
        <v>6600</v>
      </c>
      <c r="H9" s="31">
        <f t="shared" si="3"/>
        <v>0.00821349208401329</v>
      </c>
      <c r="I9" s="37"/>
      <c r="J9" s="37"/>
    </row>
    <row r="10" s="1" customFormat="1" ht="15.6" spans="1:10">
      <c r="A10" s="32" t="s">
        <v>213</v>
      </c>
      <c r="B10" s="33">
        <f t="shared" si="0"/>
        <v>85.299184</v>
      </c>
      <c r="C10" s="33">
        <v>72</v>
      </c>
      <c r="D10" s="34">
        <v>13.299184</v>
      </c>
      <c r="E10" s="33">
        <f t="shared" si="2"/>
        <v>75</v>
      </c>
      <c r="F10" s="34">
        <v>60</v>
      </c>
      <c r="G10" s="34">
        <v>15</v>
      </c>
      <c r="H10" s="31">
        <f t="shared" si="3"/>
        <v>-0.12074188189186</v>
      </c>
      <c r="I10" s="37"/>
      <c r="J10" s="37"/>
    </row>
    <row r="11" s="1" customFormat="1" ht="15.6" spans="1:10">
      <c r="A11" s="32" t="s">
        <v>214</v>
      </c>
      <c r="B11" s="33">
        <f t="shared" si="0"/>
        <v>67.39</v>
      </c>
      <c r="C11" s="33">
        <v>67.39</v>
      </c>
      <c r="D11" s="34">
        <v>0</v>
      </c>
      <c r="E11" s="33">
        <f t="shared" si="2"/>
        <v>320.24</v>
      </c>
      <c r="F11" s="34">
        <v>66.24</v>
      </c>
      <c r="G11" s="34">
        <v>254</v>
      </c>
      <c r="H11" s="31">
        <f t="shared" si="3"/>
        <v>3.75204036207152</v>
      </c>
      <c r="I11" s="37"/>
      <c r="J11" s="37"/>
    </row>
    <row r="12" s="1" customFormat="1" ht="15.6" spans="1:10">
      <c r="A12" s="32" t="s">
        <v>215</v>
      </c>
      <c r="B12" s="33">
        <f t="shared" si="0"/>
        <v>170.9</v>
      </c>
      <c r="C12" s="33">
        <v>20.9</v>
      </c>
      <c r="D12" s="34">
        <v>150</v>
      </c>
      <c r="E12" s="33">
        <f t="shared" si="2"/>
        <v>40.6</v>
      </c>
      <c r="F12" s="34">
        <v>40</v>
      </c>
      <c r="G12" s="34">
        <v>0.6</v>
      </c>
      <c r="H12" s="31">
        <f t="shared" si="3"/>
        <v>-0.762434172030427</v>
      </c>
      <c r="I12" s="37"/>
      <c r="J12" s="37"/>
    </row>
    <row r="13" s="1" customFormat="1" ht="15.6" spans="1:10">
      <c r="A13" s="32" t="s">
        <v>216</v>
      </c>
      <c r="B13" s="33">
        <f t="shared" si="0"/>
        <v>0</v>
      </c>
      <c r="C13" s="33">
        <v>0</v>
      </c>
      <c r="D13" s="34">
        <v>0</v>
      </c>
      <c r="E13" s="33">
        <f t="shared" si="2"/>
        <v>0</v>
      </c>
      <c r="F13" s="34">
        <v>0</v>
      </c>
      <c r="G13" s="34">
        <v>0</v>
      </c>
      <c r="H13" s="31"/>
      <c r="I13" s="37"/>
      <c r="J13" s="37"/>
    </row>
    <row r="14" s="1" customFormat="1" ht="15.6" spans="1:10">
      <c r="A14" s="32" t="s">
        <v>217</v>
      </c>
      <c r="B14" s="33">
        <f t="shared" si="0"/>
        <v>0</v>
      </c>
      <c r="C14" s="33">
        <v>0</v>
      </c>
      <c r="D14" s="34">
        <v>0</v>
      </c>
      <c r="E14" s="35"/>
      <c r="F14" s="34"/>
      <c r="G14" s="34"/>
      <c r="H14" s="31"/>
      <c r="I14" s="37"/>
      <c r="J14" s="37"/>
    </row>
    <row r="15" s="1" customFormat="1" ht="15.6" spans="1:10">
      <c r="A15" s="32" t="s">
        <v>218</v>
      </c>
      <c r="B15" s="33">
        <f t="shared" si="0"/>
        <v>0</v>
      </c>
      <c r="C15" s="33">
        <v>0</v>
      </c>
      <c r="D15" s="34">
        <v>0</v>
      </c>
      <c r="E15" s="35"/>
      <c r="F15" s="34"/>
      <c r="G15" s="34"/>
      <c r="H15" s="31"/>
      <c r="I15" s="37"/>
      <c r="J15" s="37"/>
    </row>
    <row r="16" s="1" customFormat="1" ht="15.6" spans="1:10">
      <c r="A16" s="32" t="s">
        <v>219</v>
      </c>
      <c r="B16" s="28">
        <f t="shared" si="0"/>
        <v>17799.242</v>
      </c>
      <c r="C16" s="28">
        <f t="shared" ref="C16:G16" si="4">SUM(C17:C21)</f>
        <v>2498.742</v>
      </c>
      <c r="D16" s="36">
        <f t="shared" si="4"/>
        <v>15300.5</v>
      </c>
      <c r="E16" s="28">
        <f t="shared" ref="E16:E19" si="5">F16+G16</f>
        <v>18608.4</v>
      </c>
      <c r="F16" s="36">
        <f t="shared" si="4"/>
        <v>2998</v>
      </c>
      <c r="G16" s="36">
        <f t="shared" si="4"/>
        <v>15610.4</v>
      </c>
      <c r="H16" s="31">
        <f t="shared" ref="H16:H19" si="6">(E16-B16)/B16</f>
        <v>0.0454602504983079</v>
      </c>
      <c r="I16" s="37"/>
      <c r="J16" s="37"/>
    </row>
    <row r="17" s="1" customFormat="1" ht="15.6" spans="1:10">
      <c r="A17" s="32" t="s">
        <v>220</v>
      </c>
      <c r="B17" s="33">
        <f t="shared" si="0"/>
        <v>17791.742</v>
      </c>
      <c r="C17" s="33">
        <v>2492.742</v>
      </c>
      <c r="D17" s="34">
        <v>15299</v>
      </c>
      <c r="E17" s="33">
        <f t="shared" si="5"/>
        <v>18583</v>
      </c>
      <c r="F17" s="34">
        <v>2989</v>
      </c>
      <c r="G17" s="34">
        <v>15594</v>
      </c>
      <c r="H17" s="31">
        <f t="shared" si="6"/>
        <v>0.0444733292557863</v>
      </c>
      <c r="I17" s="37"/>
      <c r="J17" s="37"/>
    </row>
    <row r="18" s="1" customFormat="1" ht="15.6" spans="1:10">
      <c r="A18" s="32" t="s">
        <v>221</v>
      </c>
      <c r="B18" s="33">
        <f t="shared" si="0"/>
        <v>6</v>
      </c>
      <c r="C18" s="33">
        <v>6</v>
      </c>
      <c r="D18" s="34">
        <v>0</v>
      </c>
      <c r="E18" s="33">
        <f t="shared" si="5"/>
        <v>25</v>
      </c>
      <c r="F18" s="34">
        <v>9</v>
      </c>
      <c r="G18" s="34">
        <v>16</v>
      </c>
      <c r="H18" s="31">
        <f t="shared" si="6"/>
        <v>3.16666666666667</v>
      </c>
      <c r="I18" s="37"/>
      <c r="J18" s="37"/>
    </row>
    <row r="19" s="1" customFormat="1" ht="15.6" spans="1:10">
      <c r="A19" s="32" t="s">
        <v>222</v>
      </c>
      <c r="B19" s="33">
        <f t="shared" si="0"/>
        <v>1.5</v>
      </c>
      <c r="C19" s="33">
        <v>0</v>
      </c>
      <c r="D19" s="34">
        <v>1.5</v>
      </c>
      <c r="E19" s="33">
        <f t="shared" si="5"/>
        <v>0.4</v>
      </c>
      <c r="F19" s="34">
        <v>0</v>
      </c>
      <c r="G19" s="34">
        <v>0.4</v>
      </c>
      <c r="H19" s="31">
        <f t="shared" si="6"/>
        <v>-0.733333333333333</v>
      </c>
      <c r="I19" s="37"/>
      <c r="J19" s="37"/>
    </row>
    <row r="20" s="1" customFormat="1" ht="15.6" spans="1:10">
      <c r="A20" s="32" t="s">
        <v>223</v>
      </c>
      <c r="B20" s="33">
        <f t="shared" si="0"/>
        <v>0</v>
      </c>
      <c r="C20" s="33">
        <v>0</v>
      </c>
      <c r="D20" s="34">
        <v>0</v>
      </c>
      <c r="E20" s="35"/>
      <c r="F20" s="34"/>
      <c r="G20" s="34"/>
      <c r="H20" s="31"/>
      <c r="I20" s="37"/>
      <c r="J20" s="37"/>
    </row>
    <row r="21" s="1" customFormat="1" ht="15.6" spans="1:10">
      <c r="A21" s="32" t="s">
        <v>224</v>
      </c>
      <c r="B21" s="33">
        <f t="shared" si="0"/>
        <v>0</v>
      </c>
      <c r="C21" s="33">
        <v>0</v>
      </c>
      <c r="D21" s="34">
        <v>0</v>
      </c>
      <c r="E21" s="35"/>
      <c r="F21" s="34"/>
      <c r="G21" s="34"/>
      <c r="H21" s="31"/>
      <c r="I21" s="37"/>
      <c r="J21" s="37"/>
    </row>
    <row r="22" s="1" customFormat="1" ht="15.6" spans="1:10">
      <c r="A22" s="27" t="s">
        <v>225</v>
      </c>
      <c r="B22" s="28">
        <f t="shared" si="0"/>
        <v>9038.934708</v>
      </c>
      <c r="C22" s="28">
        <v>6285</v>
      </c>
      <c r="D22" s="36">
        <v>2753.934708</v>
      </c>
      <c r="E22" s="28">
        <f>F22+G22</f>
        <v>8874.82493</v>
      </c>
      <c r="F22" s="36">
        <v>7595.974462</v>
      </c>
      <c r="G22" s="36">
        <v>1278.850468</v>
      </c>
      <c r="H22" s="31">
        <f>(E22-B22)/B22</f>
        <v>-0.0181558760298106</v>
      </c>
      <c r="I22" s="37"/>
      <c r="J22" s="37"/>
    </row>
    <row r="23" s="1" customFormat="1" ht="15.6" spans="1:10">
      <c r="A23" s="32" t="s">
        <v>226</v>
      </c>
      <c r="B23" s="28">
        <f t="shared" si="0"/>
        <v>11241.149892</v>
      </c>
      <c r="C23" s="28">
        <f t="shared" ref="C23:G23" si="7">C7+C22-C16</f>
        <v>8474.416</v>
      </c>
      <c r="D23" s="36">
        <f t="shared" si="7"/>
        <v>2766.733892</v>
      </c>
      <c r="E23" s="28">
        <f>F23+G23</f>
        <v>10909.77433</v>
      </c>
      <c r="F23" s="28">
        <f t="shared" si="7"/>
        <v>9603.723862</v>
      </c>
      <c r="G23" s="36">
        <f t="shared" si="7"/>
        <v>1306.050468</v>
      </c>
      <c r="H23" s="31">
        <f>(E23-B23)/B23</f>
        <v>-0.0294787957801213</v>
      </c>
      <c r="I23" s="37"/>
      <c r="J23" s="37"/>
    </row>
    <row r="24" s="1" customFormat="1" spans="2:7">
      <c r="B24" s="37"/>
      <c r="C24" s="1"/>
      <c r="D24" s="2"/>
      <c r="E24" s="1"/>
      <c r="F24" s="1"/>
      <c r="G24" s="2"/>
    </row>
  </sheetData>
  <mergeCells count="4">
    <mergeCell ref="A2:H2"/>
    <mergeCell ref="B5:D5"/>
    <mergeCell ref="E5:G5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琳</cp:lastModifiedBy>
  <dcterms:created xsi:type="dcterms:W3CDTF">2019-12-12T02:32:00Z</dcterms:created>
  <cp:lastPrinted>2022-01-05T08:24:00Z</cp:lastPrinted>
  <dcterms:modified xsi:type="dcterms:W3CDTF">2024-02-08T08:46:53Z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C01ABB5BD4084B41A43C1F01071350B5</vt:lpwstr>
  </property>
</Properties>
</file>